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1. Atividades e Resultados - Planilha de Produção\2016\"/>
    </mc:Choice>
  </mc:AlternateContent>
  <xr:revisionPtr revIDLastSave="0" documentId="13_ncr:1_{903C2C73-4F56-42E7-BA98-0DD0E95E18EB}" xr6:coauthVersionLast="45" xr6:coauthVersionMax="45" xr10:uidLastSave="{00000000-0000-0000-0000-000000000000}"/>
  <bookViews>
    <workbookView xWindow="-120" yWindow="-120" windowWidth="24240" windowHeight="13140" tabRatio="840" firstSheet="6" activeTab="14" xr2:uid="{00000000-000D-0000-FFFF-FFFF00000000}"/>
  </bookViews>
  <sheets>
    <sheet name="Qualidade" sheetId="27" state="hidden" r:id="rId1"/>
    <sheet name="UBS Vila Dalva" sheetId="19" r:id="rId2"/>
    <sheet name="UBS Jardim Boa Vista" sheetId="7" r:id="rId3"/>
    <sheet name="UBS e NASF Jardim D´Abril" sheetId="2" r:id="rId4"/>
    <sheet name="UBS Jardim Jaqueline" sheetId="3" r:id="rId5"/>
    <sheet name="UBS E NASF Malta Cardoso" sheetId="8" r:id="rId6"/>
    <sheet name="UBS Real Parque" sheetId="25" r:id="rId7"/>
    <sheet name="UBS Sao Remo" sheetId="41" r:id="rId8"/>
    <sheet name="AMA e UBS Vila Sonia" sheetId="6" r:id="rId9"/>
    <sheet name="AMA_ UBS e NASF Paulo VI" sheetId="4" r:id="rId10"/>
    <sheet name=" AMA e UBS Sao Jorge" sheetId="5" r:id="rId11"/>
    <sheet name="PS BAND" sheetId="40" r:id="rId12"/>
    <sheet name="PAI UBS Butantã" sheetId="9" r:id="rId13"/>
    <sheet name="HORA CERTA" sheetId="39" state="hidden" r:id="rId14"/>
    <sheet name="Produção Geral" sheetId="42" r:id="rId15"/>
    <sheet name="Consolidado Profissionais" sheetId="34" state="hidden" r:id="rId16"/>
    <sheet name="Consolidado Consulta" sheetId="38" state="hidden" r:id="rId17"/>
    <sheet name="valor desconto qualidade" sheetId="36" state="hidden" r:id="rId18"/>
  </sheets>
  <definedNames>
    <definedName name="_xlnm.Print_Area" localSheetId="13">'HORA CERTA'!$A$1:$R$44</definedName>
    <definedName name="_xlnm.Print_Area" localSheetId="11">'PS BAND'!$A$1:$R$41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40" l="1"/>
  <c r="M10" i="40"/>
  <c r="Q10" i="40" s="1"/>
  <c r="K10" i="40"/>
  <c r="Q8" i="40"/>
  <c r="Q9" i="40"/>
  <c r="Q7" i="40"/>
  <c r="A45" i="42" l="1"/>
  <c r="M44" i="42"/>
  <c r="K44" i="42"/>
  <c r="I44" i="42"/>
  <c r="G44" i="42"/>
  <c r="E44" i="42"/>
  <c r="C44" i="42"/>
  <c r="B44" i="42"/>
  <c r="A44" i="42"/>
  <c r="M43" i="42"/>
  <c r="K43" i="42"/>
  <c r="I43" i="42"/>
  <c r="G43" i="42"/>
  <c r="E43" i="42"/>
  <c r="C43" i="42"/>
  <c r="B43" i="42"/>
  <c r="A43" i="42"/>
  <c r="M42" i="42"/>
  <c r="K42" i="42"/>
  <c r="I42" i="42"/>
  <c r="G42" i="42"/>
  <c r="E42" i="42"/>
  <c r="C42" i="42"/>
  <c r="B42" i="42"/>
  <c r="A42" i="42"/>
  <c r="A38" i="42"/>
  <c r="M37" i="42"/>
  <c r="K37" i="42"/>
  <c r="I37" i="42"/>
  <c r="G37" i="42"/>
  <c r="E37" i="42"/>
  <c r="C37" i="42"/>
  <c r="B37" i="42"/>
  <c r="A37" i="42"/>
  <c r="M36" i="42"/>
  <c r="K36" i="42"/>
  <c r="I36" i="42"/>
  <c r="G36" i="42"/>
  <c r="E36" i="42"/>
  <c r="C36" i="42"/>
  <c r="B36" i="42"/>
  <c r="A36" i="42"/>
  <c r="M35" i="42"/>
  <c r="K35" i="42"/>
  <c r="I35" i="42"/>
  <c r="G35" i="42"/>
  <c r="E35" i="42"/>
  <c r="C35" i="42"/>
  <c r="B35" i="42"/>
  <c r="A35" i="42"/>
  <c r="M34" i="42"/>
  <c r="K34" i="42"/>
  <c r="I34" i="42"/>
  <c r="G34" i="42"/>
  <c r="E34" i="42"/>
  <c r="C34" i="42"/>
  <c r="B34" i="42"/>
  <c r="A34" i="42"/>
  <c r="M33" i="42"/>
  <c r="K33" i="42"/>
  <c r="I33" i="42"/>
  <c r="G33" i="42"/>
  <c r="E33" i="42"/>
  <c r="C33" i="42"/>
  <c r="B33" i="42"/>
  <c r="A33" i="42"/>
  <c r="A29" i="42"/>
  <c r="M28" i="42"/>
  <c r="K28" i="42"/>
  <c r="I28" i="42"/>
  <c r="G28" i="42"/>
  <c r="E28" i="42"/>
  <c r="C28" i="42"/>
  <c r="B28" i="42"/>
  <c r="A28" i="42"/>
  <c r="M27" i="42"/>
  <c r="K27" i="42"/>
  <c r="I27" i="42"/>
  <c r="G27" i="42"/>
  <c r="E27" i="42"/>
  <c r="C27" i="42"/>
  <c r="B27" i="42"/>
  <c r="A27" i="42"/>
  <c r="M26" i="42"/>
  <c r="K26" i="42"/>
  <c r="I26" i="42"/>
  <c r="G26" i="42"/>
  <c r="E26" i="42"/>
  <c r="C26" i="42"/>
  <c r="B26" i="42"/>
  <c r="A26" i="42"/>
  <c r="M25" i="42"/>
  <c r="K25" i="42"/>
  <c r="I25" i="42"/>
  <c r="G25" i="42"/>
  <c r="E25" i="42"/>
  <c r="C25" i="42"/>
  <c r="B25" i="42"/>
  <c r="A25" i="42"/>
  <c r="M24" i="42"/>
  <c r="K24" i="42"/>
  <c r="I24" i="42"/>
  <c r="G24" i="42"/>
  <c r="E24" i="42"/>
  <c r="C24" i="42"/>
  <c r="B24" i="42"/>
  <c r="A24" i="42"/>
  <c r="M23" i="42"/>
  <c r="K23" i="42"/>
  <c r="I23" i="42"/>
  <c r="G23" i="42"/>
  <c r="E23" i="42"/>
  <c r="C23" i="42"/>
  <c r="B23" i="42"/>
  <c r="A23" i="42"/>
  <c r="M22" i="42"/>
  <c r="K22" i="42"/>
  <c r="I22" i="42"/>
  <c r="G22" i="42"/>
  <c r="E22" i="42"/>
  <c r="C22" i="42"/>
  <c r="B22" i="42"/>
  <c r="A22" i="42"/>
  <c r="M21" i="42"/>
  <c r="K21" i="42"/>
  <c r="I21" i="42"/>
  <c r="G21" i="42"/>
  <c r="E21" i="42"/>
  <c r="C21" i="42"/>
  <c r="B21" i="42"/>
  <c r="A21" i="42"/>
  <c r="M20" i="42"/>
  <c r="K20" i="42"/>
  <c r="I20" i="42"/>
  <c r="G20" i="42"/>
  <c r="E20" i="42"/>
  <c r="C20" i="42"/>
  <c r="B20" i="42"/>
  <c r="A20" i="42"/>
  <c r="A16" i="42"/>
  <c r="M15" i="42"/>
  <c r="K15" i="42"/>
  <c r="I15" i="42"/>
  <c r="G15" i="42"/>
  <c r="E15" i="42"/>
  <c r="C15" i="42"/>
  <c r="B15" i="42"/>
  <c r="A15" i="42"/>
  <c r="M14" i="42"/>
  <c r="K14" i="42"/>
  <c r="I14" i="42"/>
  <c r="G14" i="42"/>
  <c r="E14" i="42"/>
  <c r="C14" i="42"/>
  <c r="B14" i="42"/>
  <c r="A14" i="42"/>
  <c r="M13" i="42"/>
  <c r="K13" i="42"/>
  <c r="I13" i="42"/>
  <c r="G13" i="42"/>
  <c r="E13" i="42"/>
  <c r="C13" i="42"/>
  <c r="B13" i="42"/>
  <c r="A13" i="42"/>
  <c r="M12" i="42"/>
  <c r="K12" i="42"/>
  <c r="I12" i="42"/>
  <c r="G12" i="42"/>
  <c r="E12" i="42"/>
  <c r="C12" i="42"/>
  <c r="B12" i="42"/>
  <c r="A12" i="42"/>
  <c r="M11" i="42"/>
  <c r="K11" i="42"/>
  <c r="I11" i="42"/>
  <c r="G11" i="42"/>
  <c r="E11" i="42"/>
  <c r="C11" i="42"/>
  <c r="B11" i="42"/>
  <c r="A11" i="42"/>
  <c r="M10" i="42"/>
  <c r="K10" i="42"/>
  <c r="I10" i="42"/>
  <c r="G10" i="42"/>
  <c r="E10" i="42"/>
  <c r="C10" i="42"/>
  <c r="B10" i="42"/>
  <c r="A10" i="42"/>
  <c r="M9" i="42"/>
  <c r="K9" i="42"/>
  <c r="I9" i="42"/>
  <c r="G9" i="42"/>
  <c r="E9" i="42"/>
  <c r="C9" i="42"/>
  <c r="B9" i="42"/>
  <c r="A9" i="42"/>
  <c r="M8" i="42"/>
  <c r="K8" i="42"/>
  <c r="I8" i="42"/>
  <c r="G8" i="42"/>
  <c r="E8" i="42"/>
  <c r="C8" i="42"/>
  <c r="B8" i="42"/>
  <c r="A8" i="42"/>
  <c r="A170" i="42"/>
  <c r="B170" i="42"/>
  <c r="C170" i="42"/>
  <c r="E170" i="42"/>
  <c r="G170" i="42"/>
  <c r="I170" i="42"/>
  <c r="K170" i="42"/>
  <c r="M170" i="42"/>
  <c r="A171" i="42"/>
  <c r="B171" i="42"/>
  <c r="C171" i="42"/>
  <c r="E171" i="42"/>
  <c r="G171" i="42"/>
  <c r="I171" i="42"/>
  <c r="K171" i="42"/>
  <c r="M171" i="42"/>
  <c r="A172" i="42"/>
  <c r="B172" i="42"/>
  <c r="C172" i="42"/>
  <c r="E172" i="42"/>
  <c r="G172" i="42"/>
  <c r="I172" i="42"/>
  <c r="K172" i="42"/>
  <c r="M172" i="42"/>
  <c r="A173" i="42"/>
  <c r="B173" i="42"/>
  <c r="C173" i="42"/>
  <c r="E173" i="42"/>
  <c r="G173" i="42"/>
  <c r="I173" i="42"/>
  <c r="K173" i="42"/>
  <c r="M173" i="42"/>
  <c r="A174" i="42"/>
  <c r="B174" i="42"/>
  <c r="C174" i="42"/>
  <c r="E174" i="42"/>
  <c r="G174" i="42"/>
  <c r="I174" i="42"/>
  <c r="K174" i="42"/>
  <c r="M174" i="42"/>
  <c r="A175" i="42"/>
  <c r="B175" i="42"/>
  <c r="C175" i="42"/>
  <c r="E175" i="42"/>
  <c r="G175" i="42"/>
  <c r="I175" i="42"/>
  <c r="K175" i="42"/>
  <c r="M175" i="42"/>
  <c r="A176" i="42"/>
  <c r="B176" i="42"/>
  <c r="C176" i="42"/>
  <c r="E176" i="42"/>
  <c r="G176" i="42"/>
  <c r="I176" i="42"/>
  <c r="K176" i="42"/>
  <c r="M176" i="42"/>
  <c r="A177" i="42"/>
  <c r="B177" i="42"/>
  <c r="C177" i="42"/>
  <c r="E177" i="42"/>
  <c r="G177" i="42"/>
  <c r="I177" i="42"/>
  <c r="K177" i="42"/>
  <c r="M177" i="42"/>
  <c r="A178" i="42"/>
  <c r="B178" i="42"/>
  <c r="C178" i="42"/>
  <c r="E178" i="42"/>
  <c r="G178" i="42"/>
  <c r="I178" i="42"/>
  <c r="K178" i="42"/>
  <c r="M178" i="42"/>
  <c r="A179" i="42"/>
  <c r="B179" i="42"/>
  <c r="C179" i="42"/>
  <c r="E179" i="42"/>
  <c r="G179" i="42"/>
  <c r="I179" i="42"/>
  <c r="K179" i="42"/>
  <c r="M179" i="42"/>
  <c r="A180" i="42"/>
  <c r="B180" i="42"/>
  <c r="C180" i="42"/>
  <c r="E180" i="42"/>
  <c r="G180" i="42"/>
  <c r="I180" i="42"/>
  <c r="K180" i="42"/>
  <c r="M180" i="42"/>
  <c r="A181" i="42"/>
  <c r="A104" i="42"/>
  <c r="B104" i="42"/>
  <c r="C104" i="42"/>
  <c r="E104" i="42"/>
  <c r="G104" i="42"/>
  <c r="I104" i="42"/>
  <c r="K104" i="42"/>
  <c r="M104" i="42"/>
  <c r="A105" i="42"/>
  <c r="B105" i="42"/>
  <c r="C105" i="42"/>
  <c r="E105" i="42"/>
  <c r="G105" i="42"/>
  <c r="I105" i="42"/>
  <c r="K105" i="42"/>
  <c r="M105" i="42"/>
  <c r="A106" i="42"/>
  <c r="C35" i="6"/>
  <c r="C106" i="42" s="1"/>
  <c r="B35" i="39"/>
  <c r="O35" i="39"/>
  <c r="M181" i="42" s="1"/>
  <c r="M35" i="39"/>
  <c r="K181" i="42" s="1"/>
  <c r="K35" i="39"/>
  <c r="G35" i="39"/>
  <c r="G181" i="42" s="1"/>
  <c r="E35" i="39"/>
  <c r="E181" i="42" s="1"/>
  <c r="C35" i="39"/>
  <c r="C181" i="42" s="1"/>
  <c r="Q34" i="39"/>
  <c r="R34" i="39" s="1"/>
  <c r="P34" i="39"/>
  <c r="N180" i="42" s="1"/>
  <c r="N34" i="39"/>
  <c r="L180" i="42" s="1"/>
  <c r="L34" i="39"/>
  <c r="J180" i="42" s="1"/>
  <c r="I34" i="39"/>
  <c r="J34" i="39" s="1"/>
  <c r="H34" i="39"/>
  <c r="H180" i="42" s="1"/>
  <c r="F34" i="39"/>
  <c r="F180" i="42" s="1"/>
  <c r="D34" i="39"/>
  <c r="D180" i="42" s="1"/>
  <c r="Q33" i="39"/>
  <c r="R33" i="39" s="1"/>
  <c r="P33" i="39"/>
  <c r="N179" i="42" s="1"/>
  <c r="N33" i="39"/>
  <c r="L179" i="42" s="1"/>
  <c r="L33" i="39"/>
  <c r="J179" i="42" s="1"/>
  <c r="I33" i="39"/>
  <c r="J33" i="39" s="1"/>
  <c r="H33" i="39"/>
  <c r="H179" i="42" s="1"/>
  <c r="F33" i="39"/>
  <c r="F179" i="42" s="1"/>
  <c r="D33" i="39"/>
  <c r="D179" i="42" s="1"/>
  <c r="Q32" i="39"/>
  <c r="R32" i="39" s="1"/>
  <c r="P32" i="39"/>
  <c r="N178" i="42" s="1"/>
  <c r="N32" i="39"/>
  <c r="L178" i="42" s="1"/>
  <c r="L32" i="39"/>
  <c r="J178" i="42" s="1"/>
  <c r="I32" i="39"/>
  <c r="J32" i="39" s="1"/>
  <c r="H32" i="39"/>
  <c r="H178" i="42" s="1"/>
  <c r="F32" i="39"/>
  <c r="F178" i="42" s="1"/>
  <c r="D32" i="39"/>
  <c r="D178" i="42" s="1"/>
  <c r="Q31" i="39"/>
  <c r="R31" i="39" s="1"/>
  <c r="P31" i="39"/>
  <c r="N177" i="42" s="1"/>
  <c r="N31" i="39"/>
  <c r="L177" i="42" s="1"/>
  <c r="L31" i="39"/>
  <c r="J177" i="42" s="1"/>
  <c r="I31" i="39"/>
  <c r="H31" i="39"/>
  <c r="H177" i="42" s="1"/>
  <c r="F31" i="39"/>
  <c r="F177" i="42" s="1"/>
  <c r="D31" i="39"/>
  <c r="D177" i="42" s="1"/>
  <c r="Q30" i="39"/>
  <c r="P30" i="39"/>
  <c r="N176" i="42" s="1"/>
  <c r="N30" i="39"/>
  <c r="L176" i="42" s="1"/>
  <c r="L30" i="39"/>
  <c r="J176" i="42" s="1"/>
  <c r="I30" i="39"/>
  <c r="H30" i="39"/>
  <c r="H176" i="42" s="1"/>
  <c r="F30" i="39"/>
  <c r="F176" i="42" s="1"/>
  <c r="D30" i="39"/>
  <c r="D176" i="42" s="1"/>
  <c r="Q29" i="39"/>
  <c r="P29" i="39"/>
  <c r="N175" i="42" s="1"/>
  <c r="N29" i="39"/>
  <c r="L175" i="42" s="1"/>
  <c r="L29" i="39"/>
  <c r="J175" i="42" s="1"/>
  <c r="I29" i="39"/>
  <c r="H29" i="39"/>
  <c r="H175" i="42" s="1"/>
  <c r="F29" i="39"/>
  <c r="F175" i="42" s="1"/>
  <c r="D29" i="39"/>
  <c r="D175" i="42" s="1"/>
  <c r="Q28" i="39"/>
  <c r="R28" i="39" s="1"/>
  <c r="P28" i="39"/>
  <c r="N174" i="42" s="1"/>
  <c r="N28" i="39"/>
  <c r="L174" i="42" s="1"/>
  <c r="L28" i="39"/>
  <c r="J174" i="42" s="1"/>
  <c r="I28" i="39"/>
  <c r="J28" i="39" s="1"/>
  <c r="H28" i="39"/>
  <c r="H174" i="42" s="1"/>
  <c r="F28" i="39"/>
  <c r="F174" i="42" s="1"/>
  <c r="D28" i="39"/>
  <c r="D174" i="42" s="1"/>
  <c r="Q27" i="39"/>
  <c r="R27" i="39" s="1"/>
  <c r="P27" i="39"/>
  <c r="N173" i="42" s="1"/>
  <c r="N27" i="39"/>
  <c r="L173" i="42" s="1"/>
  <c r="L27" i="39"/>
  <c r="J173" i="42" s="1"/>
  <c r="I27" i="39"/>
  <c r="H27" i="39"/>
  <c r="H173" i="42" s="1"/>
  <c r="F27" i="39"/>
  <c r="F173" i="42" s="1"/>
  <c r="D27" i="39"/>
  <c r="D173" i="42" s="1"/>
  <c r="Q26" i="39"/>
  <c r="P26" i="39"/>
  <c r="N172" i="42" s="1"/>
  <c r="N26" i="39"/>
  <c r="L172" i="42" s="1"/>
  <c r="L26" i="39"/>
  <c r="J172" i="42" s="1"/>
  <c r="I26" i="39"/>
  <c r="H26" i="39"/>
  <c r="H172" i="42" s="1"/>
  <c r="F26" i="39"/>
  <c r="F172" i="42" s="1"/>
  <c r="D26" i="39"/>
  <c r="D172" i="42" s="1"/>
  <c r="Q25" i="39"/>
  <c r="P25" i="39"/>
  <c r="N171" i="42" s="1"/>
  <c r="N25" i="39"/>
  <c r="L171" i="42" s="1"/>
  <c r="L25" i="39"/>
  <c r="J171" i="42" s="1"/>
  <c r="J25" i="39"/>
  <c r="I25" i="39"/>
  <c r="H25" i="39"/>
  <c r="H171" i="42" s="1"/>
  <c r="F25" i="39"/>
  <c r="F171" i="42" s="1"/>
  <c r="D25" i="39"/>
  <c r="D171" i="42" s="1"/>
  <c r="Q24" i="39"/>
  <c r="R24" i="39" s="1"/>
  <c r="P24" i="39"/>
  <c r="N170" i="42" s="1"/>
  <c r="N24" i="39"/>
  <c r="L170" i="42" s="1"/>
  <c r="L24" i="39"/>
  <c r="J170" i="42" s="1"/>
  <c r="I24" i="39"/>
  <c r="J24" i="39" s="1"/>
  <c r="H24" i="39"/>
  <c r="H170" i="42" s="1"/>
  <c r="F24" i="39"/>
  <c r="F170" i="42" s="1"/>
  <c r="D24" i="39"/>
  <c r="D170" i="42" s="1"/>
  <c r="P35" i="39" l="1"/>
  <c r="N181" i="42" s="1"/>
  <c r="J29" i="39"/>
  <c r="R29" i="39"/>
  <c r="J30" i="39"/>
  <c r="R30" i="39"/>
  <c r="J31" i="39"/>
  <c r="R25" i="39"/>
  <c r="J26" i="39"/>
  <c r="R26" i="39"/>
  <c r="J27" i="39"/>
  <c r="B181" i="42"/>
  <c r="Q35" i="39"/>
  <c r="R35" i="39" s="1"/>
  <c r="I181" i="42"/>
  <c r="I35" i="39"/>
  <c r="D35" i="39"/>
  <c r="D181" i="42" s="1"/>
  <c r="F35" i="39"/>
  <c r="F181" i="42" s="1"/>
  <c r="H35" i="39"/>
  <c r="H181" i="42" s="1"/>
  <c r="L35" i="39"/>
  <c r="J181" i="42" s="1"/>
  <c r="N35" i="39"/>
  <c r="L181" i="42" s="1"/>
  <c r="J35" i="39" l="1"/>
  <c r="A165" i="42" l="1"/>
  <c r="B165" i="42"/>
  <c r="C165" i="42"/>
  <c r="E165" i="42"/>
  <c r="G165" i="42"/>
  <c r="I165" i="42"/>
  <c r="K165" i="42"/>
  <c r="M165" i="42"/>
  <c r="A166" i="42"/>
  <c r="A153" i="42"/>
  <c r="B153" i="42"/>
  <c r="C153" i="42"/>
  <c r="E153" i="42"/>
  <c r="G153" i="42"/>
  <c r="I153" i="42"/>
  <c r="K153" i="42"/>
  <c r="M153" i="42"/>
  <c r="A154" i="42"/>
  <c r="B154" i="42"/>
  <c r="C154" i="42"/>
  <c r="E154" i="42"/>
  <c r="G154" i="42"/>
  <c r="I154" i="42"/>
  <c r="K154" i="42"/>
  <c r="M154" i="42"/>
  <c r="A155" i="42"/>
  <c r="B155" i="42"/>
  <c r="C155" i="42"/>
  <c r="E155" i="42"/>
  <c r="G155" i="42"/>
  <c r="I155" i="42"/>
  <c r="K155" i="42"/>
  <c r="M155" i="42"/>
  <c r="A156" i="42"/>
  <c r="B156" i="42"/>
  <c r="C156" i="42"/>
  <c r="E156" i="42"/>
  <c r="G156" i="42"/>
  <c r="I156" i="42"/>
  <c r="K156" i="42"/>
  <c r="M156" i="42"/>
  <c r="A157" i="42"/>
  <c r="B157" i="42"/>
  <c r="C157" i="42"/>
  <c r="E157" i="42"/>
  <c r="G157" i="42"/>
  <c r="I157" i="42"/>
  <c r="K157" i="42"/>
  <c r="M157" i="42"/>
  <c r="A158" i="42"/>
  <c r="B158" i="42"/>
  <c r="C158" i="42"/>
  <c r="E158" i="42"/>
  <c r="G158" i="42"/>
  <c r="I158" i="42"/>
  <c r="K158" i="42"/>
  <c r="M158" i="42"/>
  <c r="A159" i="42"/>
  <c r="B159" i="42"/>
  <c r="C159" i="42"/>
  <c r="E159" i="42"/>
  <c r="G159" i="42"/>
  <c r="I159" i="42"/>
  <c r="K159" i="42"/>
  <c r="M159" i="42"/>
  <c r="A160" i="42"/>
  <c r="B160" i="42"/>
  <c r="C160" i="42"/>
  <c r="E160" i="42"/>
  <c r="G160" i="42"/>
  <c r="I160" i="42"/>
  <c r="K160" i="42"/>
  <c r="M160" i="42"/>
  <c r="A161" i="42"/>
  <c r="A144" i="42"/>
  <c r="B144" i="42"/>
  <c r="C144" i="42"/>
  <c r="E144" i="42"/>
  <c r="G144" i="42"/>
  <c r="I144" i="42"/>
  <c r="K144" i="42"/>
  <c r="M144" i="42"/>
  <c r="A145" i="42"/>
  <c r="A146" i="42"/>
  <c r="A147" i="42"/>
  <c r="A148" i="42"/>
  <c r="A149" i="42"/>
  <c r="A137" i="42"/>
  <c r="B137" i="42"/>
  <c r="C137" i="42"/>
  <c r="E137" i="42"/>
  <c r="G137" i="42"/>
  <c r="I137" i="42"/>
  <c r="K137" i="42"/>
  <c r="M137" i="42"/>
  <c r="A138" i="42"/>
  <c r="B138" i="42"/>
  <c r="C138" i="42"/>
  <c r="E138" i="42"/>
  <c r="G138" i="42"/>
  <c r="I138" i="42"/>
  <c r="K138" i="42"/>
  <c r="M138" i="42"/>
  <c r="A139" i="42"/>
  <c r="B139" i="42"/>
  <c r="C139" i="42"/>
  <c r="E139" i="42"/>
  <c r="G139" i="42"/>
  <c r="I139" i="42"/>
  <c r="K139" i="42"/>
  <c r="M139" i="42"/>
  <c r="A140" i="42"/>
  <c r="A122" i="42"/>
  <c r="B122" i="42"/>
  <c r="C122" i="42"/>
  <c r="E122" i="42"/>
  <c r="G122" i="42"/>
  <c r="I122" i="42"/>
  <c r="K122" i="42"/>
  <c r="M122" i="42"/>
  <c r="A123" i="42"/>
  <c r="B123" i="42"/>
  <c r="C123" i="42"/>
  <c r="E123" i="42"/>
  <c r="G123" i="42"/>
  <c r="I123" i="42"/>
  <c r="K123" i="42"/>
  <c r="M123" i="42"/>
  <c r="A124" i="42"/>
  <c r="B124" i="42"/>
  <c r="C124" i="42"/>
  <c r="E124" i="42"/>
  <c r="G124" i="42"/>
  <c r="I124" i="42"/>
  <c r="K124" i="42"/>
  <c r="M124" i="42"/>
  <c r="A125" i="42"/>
  <c r="B125" i="42"/>
  <c r="C125" i="42"/>
  <c r="E125" i="42"/>
  <c r="G125" i="42"/>
  <c r="I125" i="42"/>
  <c r="K125" i="42"/>
  <c r="M125" i="42"/>
  <c r="A126" i="42"/>
  <c r="B126" i="42"/>
  <c r="C126" i="42"/>
  <c r="E126" i="42"/>
  <c r="G126" i="42"/>
  <c r="I126" i="42"/>
  <c r="K126" i="42"/>
  <c r="M126" i="42"/>
  <c r="A127" i="42"/>
  <c r="B127" i="42"/>
  <c r="C127" i="42"/>
  <c r="E127" i="42"/>
  <c r="G127" i="42"/>
  <c r="I127" i="42"/>
  <c r="K127" i="42"/>
  <c r="M127" i="42"/>
  <c r="A128" i="42"/>
  <c r="B128" i="42"/>
  <c r="C128" i="42"/>
  <c r="E128" i="42"/>
  <c r="G128" i="42"/>
  <c r="I128" i="42"/>
  <c r="K128" i="42"/>
  <c r="M128" i="42"/>
  <c r="A129" i="42"/>
  <c r="B129" i="42"/>
  <c r="C129" i="42"/>
  <c r="E129" i="42"/>
  <c r="G129" i="42"/>
  <c r="I129" i="42"/>
  <c r="K129" i="42"/>
  <c r="M129" i="42"/>
  <c r="A130" i="42"/>
  <c r="B130" i="42"/>
  <c r="C130" i="42"/>
  <c r="E130" i="42"/>
  <c r="G130" i="42"/>
  <c r="I130" i="42"/>
  <c r="K130" i="42"/>
  <c r="M130" i="42"/>
  <c r="A131" i="42"/>
  <c r="B131" i="42"/>
  <c r="C131" i="42"/>
  <c r="E131" i="42"/>
  <c r="G131" i="42"/>
  <c r="I131" i="42"/>
  <c r="K131" i="42"/>
  <c r="M131" i="42"/>
  <c r="A132" i="42"/>
  <c r="B132" i="42"/>
  <c r="C132" i="42"/>
  <c r="E132" i="42"/>
  <c r="G132" i="42"/>
  <c r="I132" i="42"/>
  <c r="K132" i="42"/>
  <c r="M132" i="42"/>
  <c r="A133" i="42"/>
  <c r="A110" i="42"/>
  <c r="B110" i="42"/>
  <c r="C110" i="42"/>
  <c r="E110" i="42"/>
  <c r="G110" i="42"/>
  <c r="I110" i="42"/>
  <c r="K110" i="42"/>
  <c r="M110" i="42"/>
  <c r="A111" i="42"/>
  <c r="B111" i="42"/>
  <c r="C111" i="42"/>
  <c r="E111" i="42"/>
  <c r="G111" i="42"/>
  <c r="I111" i="42"/>
  <c r="K111" i="42"/>
  <c r="M111" i="42"/>
  <c r="A112" i="42"/>
  <c r="B112" i="42"/>
  <c r="C112" i="42"/>
  <c r="E112" i="42"/>
  <c r="G112" i="42"/>
  <c r="I112" i="42"/>
  <c r="K112" i="42"/>
  <c r="M112" i="42"/>
  <c r="A113" i="42"/>
  <c r="B113" i="42"/>
  <c r="C113" i="42"/>
  <c r="E113" i="42"/>
  <c r="G113" i="42"/>
  <c r="I113" i="42"/>
  <c r="K113" i="42"/>
  <c r="M113" i="42"/>
  <c r="A114" i="42"/>
  <c r="B114" i="42"/>
  <c r="C114" i="42"/>
  <c r="E114" i="42"/>
  <c r="G114" i="42"/>
  <c r="I114" i="42"/>
  <c r="K114" i="42"/>
  <c r="M114" i="42"/>
  <c r="A115" i="42"/>
  <c r="B115" i="42"/>
  <c r="C115" i="42"/>
  <c r="E115" i="42"/>
  <c r="G115" i="42"/>
  <c r="I115" i="42"/>
  <c r="K115" i="42"/>
  <c r="M115" i="42"/>
  <c r="A116" i="42"/>
  <c r="B116" i="42"/>
  <c r="C116" i="42"/>
  <c r="E116" i="42"/>
  <c r="G116" i="42"/>
  <c r="I116" i="42"/>
  <c r="K116" i="42"/>
  <c r="M116" i="42"/>
  <c r="A117" i="42"/>
  <c r="B117" i="42"/>
  <c r="C117" i="42"/>
  <c r="E117" i="42"/>
  <c r="G117" i="42"/>
  <c r="I117" i="42"/>
  <c r="K117" i="42"/>
  <c r="M117" i="42"/>
  <c r="A118" i="42"/>
  <c r="A94" i="42"/>
  <c r="B94" i="42"/>
  <c r="C94" i="42"/>
  <c r="E94" i="42"/>
  <c r="G94" i="42"/>
  <c r="I94" i="42"/>
  <c r="K94" i="42"/>
  <c r="M94" i="42"/>
  <c r="A95" i="42"/>
  <c r="B95" i="42"/>
  <c r="C95" i="42"/>
  <c r="E95" i="42"/>
  <c r="G95" i="42"/>
  <c r="I95" i="42"/>
  <c r="K95" i="42"/>
  <c r="M95" i="42"/>
  <c r="A96" i="42"/>
  <c r="B96" i="42"/>
  <c r="C96" i="42"/>
  <c r="E96" i="42"/>
  <c r="G96" i="42"/>
  <c r="I96" i="42"/>
  <c r="K96" i="42"/>
  <c r="M96" i="42"/>
  <c r="A97" i="42"/>
  <c r="B97" i="42"/>
  <c r="C97" i="42"/>
  <c r="E97" i="42"/>
  <c r="G97" i="42"/>
  <c r="I97" i="42"/>
  <c r="K97" i="42"/>
  <c r="M97" i="42"/>
  <c r="A98" i="42"/>
  <c r="B98" i="42"/>
  <c r="C98" i="42"/>
  <c r="E98" i="42"/>
  <c r="G98" i="42"/>
  <c r="I98" i="42"/>
  <c r="K98" i="42"/>
  <c r="M98" i="42"/>
  <c r="A99" i="42"/>
  <c r="B99" i="42"/>
  <c r="C99" i="42"/>
  <c r="E99" i="42"/>
  <c r="G99" i="42"/>
  <c r="I99" i="42"/>
  <c r="K99" i="42"/>
  <c r="M99" i="42"/>
  <c r="A100" i="42"/>
  <c r="A79" i="42"/>
  <c r="B79" i="42"/>
  <c r="C79" i="42"/>
  <c r="E79" i="42"/>
  <c r="G79" i="42"/>
  <c r="I79" i="42"/>
  <c r="K79" i="42"/>
  <c r="M79" i="42"/>
  <c r="A80" i="42"/>
  <c r="B80" i="42"/>
  <c r="C80" i="42"/>
  <c r="E80" i="42"/>
  <c r="G80" i="42"/>
  <c r="I80" i="42"/>
  <c r="K80" i="42"/>
  <c r="M80" i="42"/>
  <c r="A81" i="42"/>
  <c r="B81" i="42"/>
  <c r="C81" i="42"/>
  <c r="E81" i="42"/>
  <c r="G81" i="42"/>
  <c r="I81" i="42"/>
  <c r="K81" i="42"/>
  <c r="M81" i="42"/>
  <c r="A82" i="42"/>
  <c r="B82" i="42"/>
  <c r="C82" i="42"/>
  <c r="E82" i="42"/>
  <c r="G82" i="42"/>
  <c r="I82" i="42"/>
  <c r="K82" i="42"/>
  <c r="M82" i="42"/>
  <c r="A83" i="42"/>
  <c r="B83" i="42"/>
  <c r="C83" i="42"/>
  <c r="E83" i="42"/>
  <c r="G83" i="42"/>
  <c r="I83" i="42"/>
  <c r="K83" i="42"/>
  <c r="M83" i="42"/>
  <c r="A84" i="42"/>
  <c r="B84" i="42"/>
  <c r="C84" i="42"/>
  <c r="E84" i="42"/>
  <c r="G84" i="42"/>
  <c r="I84" i="42"/>
  <c r="K84" i="42"/>
  <c r="M84" i="42"/>
  <c r="A85" i="42"/>
  <c r="B85" i="42"/>
  <c r="C85" i="42"/>
  <c r="E85" i="42"/>
  <c r="G85" i="42"/>
  <c r="I85" i="42"/>
  <c r="K85" i="42"/>
  <c r="M85" i="42"/>
  <c r="A86" i="42"/>
  <c r="B86" i="42"/>
  <c r="C86" i="42"/>
  <c r="E86" i="42"/>
  <c r="G86" i="42"/>
  <c r="I86" i="42"/>
  <c r="K86" i="42"/>
  <c r="M86" i="42"/>
  <c r="A87" i="42"/>
  <c r="B87" i="42"/>
  <c r="C87" i="42"/>
  <c r="E87" i="42"/>
  <c r="G87" i="42"/>
  <c r="I87" i="42"/>
  <c r="K87" i="42"/>
  <c r="M87" i="42"/>
  <c r="A88" i="42"/>
  <c r="B88" i="42"/>
  <c r="C88" i="42"/>
  <c r="E88" i="42"/>
  <c r="G88" i="42"/>
  <c r="I88" i="42"/>
  <c r="K88" i="42"/>
  <c r="M88" i="42"/>
  <c r="A89" i="42"/>
  <c r="B89" i="42"/>
  <c r="C89" i="42"/>
  <c r="E89" i="42"/>
  <c r="G89" i="42"/>
  <c r="I89" i="42"/>
  <c r="K89" i="42"/>
  <c r="M89" i="42"/>
  <c r="A90" i="42"/>
  <c r="A63" i="42"/>
  <c r="B63" i="42"/>
  <c r="C63" i="42"/>
  <c r="E63" i="42"/>
  <c r="G63" i="42"/>
  <c r="I63" i="42"/>
  <c r="K63" i="42"/>
  <c r="M63" i="42"/>
  <c r="A64" i="42"/>
  <c r="B64" i="42"/>
  <c r="C64" i="42"/>
  <c r="E64" i="42"/>
  <c r="G64" i="42"/>
  <c r="I64" i="42"/>
  <c r="K64" i="42"/>
  <c r="M64" i="42"/>
  <c r="A65" i="42"/>
  <c r="B65" i="42"/>
  <c r="C65" i="42"/>
  <c r="E65" i="42"/>
  <c r="G65" i="42"/>
  <c r="I65" i="42"/>
  <c r="K65" i="42"/>
  <c r="M65" i="42"/>
  <c r="A66" i="42"/>
  <c r="B66" i="42"/>
  <c r="C66" i="42"/>
  <c r="E66" i="42"/>
  <c r="G66" i="42"/>
  <c r="I66" i="42"/>
  <c r="K66" i="42"/>
  <c r="M66" i="42"/>
  <c r="A67" i="42"/>
  <c r="B67" i="42"/>
  <c r="C67" i="42"/>
  <c r="E67" i="42"/>
  <c r="G67" i="42"/>
  <c r="I67" i="42"/>
  <c r="K67" i="42"/>
  <c r="M67" i="42"/>
  <c r="A68" i="42"/>
  <c r="B68" i="42"/>
  <c r="C68" i="42"/>
  <c r="E68" i="42"/>
  <c r="G68" i="42"/>
  <c r="I68" i="42"/>
  <c r="K68" i="42"/>
  <c r="M68" i="42"/>
  <c r="A69" i="42"/>
  <c r="B69" i="42"/>
  <c r="C69" i="42"/>
  <c r="E69" i="42"/>
  <c r="G69" i="42"/>
  <c r="I69" i="42"/>
  <c r="K69" i="42"/>
  <c r="M69" i="42"/>
  <c r="A70" i="42"/>
  <c r="B70" i="42"/>
  <c r="C70" i="42"/>
  <c r="E70" i="42"/>
  <c r="G70" i="42"/>
  <c r="I70" i="42"/>
  <c r="K70" i="42"/>
  <c r="M70" i="42"/>
  <c r="A71" i="42"/>
  <c r="B71" i="42"/>
  <c r="C71" i="42"/>
  <c r="E71" i="42"/>
  <c r="G71" i="42"/>
  <c r="I71" i="42"/>
  <c r="K71" i="42"/>
  <c r="M71" i="42"/>
  <c r="A72" i="42"/>
  <c r="B72" i="42"/>
  <c r="C72" i="42"/>
  <c r="E72" i="42"/>
  <c r="G72" i="42"/>
  <c r="I72" i="42"/>
  <c r="K72" i="42"/>
  <c r="M72" i="42"/>
  <c r="A73" i="42"/>
  <c r="B73" i="42"/>
  <c r="C73" i="42"/>
  <c r="E73" i="42"/>
  <c r="G73" i="42"/>
  <c r="I73" i="42"/>
  <c r="K73" i="42"/>
  <c r="M73" i="42"/>
  <c r="A74" i="42"/>
  <c r="B74" i="42"/>
  <c r="C74" i="42"/>
  <c r="E74" i="42"/>
  <c r="G74" i="42"/>
  <c r="I74" i="42"/>
  <c r="K74" i="42"/>
  <c r="M74" i="42"/>
  <c r="A75" i="42"/>
  <c r="A49" i="42"/>
  <c r="B49" i="42"/>
  <c r="C49" i="42"/>
  <c r="E49" i="42"/>
  <c r="G49" i="42"/>
  <c r="I49" i="42"/>
  <c r="K49" i="42"/>
  <c r="M49" i="42"/>
  <c r="A50" i="42"/>
  <c r="B50" i="42"/>
  <c r="C50" i="42"/>
  <c r="E50" i="42"/>
  <c r="G50" i="42"/>
  <c r="I50" i="42"/>
  <c r="K50" i="42"/>
  <c r="M50" i="42"/>
  <c r="A51" i="42"/>
  <c r="B51" i="42"/>
  <c r="C51" i="42"/>
  <c r="E51" i="42"/>
  <c r="G51" i="42"/>
  <c r="I51" i="42"/>
  <c r="K51" i="42"/>
  <c r="M51" i="42"/>
  <c r="A52" i="42"/>
  <c r="B52" i="42"/>
  <c r="C52" i="42"/>
  <c r="E52" i="42"/>
  <c r="G52" i="42"/>
  <c r="I52" i="42"/>
  <c r="K52" i="42"/>
  <c r="M52" i="42"/>
  <c r="A53" i="42"/>
  <c r="B53" i="42"/>
  <c r="C53" i="42"/>
  <c r="E53" i="42"/>
  <c r="G53" i="42"/>
  <c r="I53" i="42"/>
  <c r="K53" i="42"/>
  <c r="M53" i="42"/>
  <c r="A54" i="42"/>
  <c r="B54" i="42"/>
  <c r="C54" i="42"/>
  <c r="E54" i="42"/>
  <c r="G54" i="42"/>
  <c r="I54" i="42"/>
  <c r="K54" i="42"/>
  <c r="M54" i="42"/>
  <c r="A55" i="42"/>
  <c r="B55" i="42"/>
  <c r="C55" i="42"/>
  <c r="E55" i="42"/>
  <c r="G55" i="42"/>
  <c r="I55" i="42"/>
  <c r="K55" i="42"/>
  <c r="M55" i="42"/>
  <c r="A56" i="42"/>
  <c r="B56" i="42"/>
  <c r="C56" i="42"/>
  <c r="E56" i="42"/>
  <c r="G56" i="42"/>
  <c r="I56" i="42"/>
  <c r="K56" i="42"/>
  <c r="M56" i="42"/>
  <c r="A57" i="42"/>
  <c r="B57" i="42"/>
  <c r="C57" i="42"/>
  <c r="E57" i="42"/>
  <c r="G57" i="42"/>
  <c r="I57" i="42"/>
  <c r="K57" i="42"/>
  <c r="M57" i="42"/>
  <c r="A58" i="42"/>
  <c r="B58" i="42"/>
  <c r="C58" i="42"/>
  <c r="E58" i="42"/>
  <c r="G58" i="42"/>
  <c r="I58" i="42"/>
  <c r="K58" i="42"/>
  <c r="M58" i="42"/>
  <c r="A59" i="42"/>
  <c r="B41" i="42"/>
  <c r="C6" i="40" l="1"/>
  <c r="D6" i="40"/>
  <c r="E6" i="40"/>
  <c r="F6" i="40"/>
  <c r="G6" i="40"/>
  <c r="H6" i="40"/>
  <c r="I6" i="40"/>
  <c r="J6" i="40"/>
  <c r="K6" i="40"/>
  <c r="L6" i="40"/>
  <c r="M6" i="40"/>
  <c r="N6" i="40"/>
  <c r="O6" i="40"/>
  <c r="P6" i="40"/>
  <c r="Q6" i="40"/>
  <c r="R6" i="40"/>
  <c r="M140" i="42" l="1"/>
  <c r="K140" i="42"/>
  <c r="I140" i="42"/>
  <c r="G10" i="40"/>
  <c r="G140" i="42" s="1"/>
  <c r="E10" i="40"/>
  <c r="E140" i="42" s="1"/>
  <c r="C10" i="40"/>
  <c r="C140" i="42" s="1"/>
  <c r="B10" i="40"/>
  <c r="N139" i="42"/>
  <c r="L139" i="42"/>
  <c r="J139" i="42"/>
  <c r="I9" i="40"/>
  <c r="H9" i="40"/>
  <c r="H139" i="42" s="1"/>
  <c r="F9" i="40"/>
  <c r="F139" i="42" s="1"/>
  <c r="D9" i="40"/>
  <c r="D139" i="42" s="1"/>
  <c r="N138" i="42"/>
  <c r="L138" i="42"/>
  <c r="J138" i="42"/>
  <c r="I8" i="40"/>
  <c r="H8" i="40"/>
  <c r="H138" i="42" s="1"/>
  <c r="F8" i="40"/>
  <c r="F138" i="42" s="1"/>
  <c r="D8" i="40"/>
  <c r="D138" i="42" s="1"/>
  <c r="N137" i="42"/>
  <c r="L137" i="42"/>
  <c r="J137" i="42"/>
  <c r="I7" i="40"/>
  <c r="H7" i="40"/>
  <c r="H137" i="42" s="1"/>
  <c r="F7" i="40"/>
  <c r="F137" i="42" s="1"/>
  <c r="D7" i="40"/>
  <c r="D137" i="42" s="1"/>
  <c r="O18" i="5"/>
  <c r="M133" i="42" s="1"/>
  <c r="M18" i="5"/>
  <c r="K133" i="42" s="1"/>
  <c r="K18" i="5"/>
  <c r="I133" i="42" s="1"/>
  <c r="G18" i="5"/>
  <c r="G133" i="42" s="1"/>
  <c r="E18" i="5"/>
  <c r="E133" i="42" s="1"/>
  <c r="C18" i="5"/>
  <c r="C133" i="42" s="1"/>
  <c r="O15" i="4"/>
  <c r="M118" i="42" s="1"/>
  <c r="M15" i="4"/>
  <c r="K118" i="42" s="1"/>
  <c r="K15" i="4"/>
  <c r="I118" i="42" s="1"/>
  <c r="G15" i="4"/>
  <c r="G118" i="42" s="1"/>
  <c r="E15" i="4"/>
  <c r="E118" i="42" s="1"/>
  <c r="C15" i="4"/>
  <c r="C118" i="42" s="1"/>
  <c r="O13" i="6"/>
  <c r="M100" i="42" s="1"/>
  <c r="M13" i="6"/>
  <c r="K100" i="42" s="1"/>
  <c r="K13" i="6"/>
  <c r="I100" i="42" s="1"/>
  <c r="G13" i="6"/>
  <c r="G100" i="42" s="1"/>
  <c r="E13" i="6"/>
  <c r="E100" i="42" s="1"/>
  <c r="C13" i="6"/>
  <c r="C100" i="42" s="1"/>
  <c r="O18" i="41"/>
  <c r="M90" i="42" s="1"/>
  <c r="M18" i="41"/>
  <c r="K90" i="42" s="1"/>
  <c r="K18" i="41"/>
  <c r="I90" i="42" s="1"/>
  <c r="G18" i="41"/>
  <c r="G90" i="42" s="1"/>
  <c r="E18" i="41"/>
  <c r="E90" i="42" s="1"/>
  <c r="C18" i="41"/>
  <c r="C90" i="42" s="1"/>
  <c r="O19" i="25"/>
  <c r="M75" i="42" s="1"/>
  <c r="M19" i="25"/>
  <c r="K75" i="42" s="1"/>
  <c r="K19" i="25"/>
  <c r="I75" i="42" s="1"/>
  <c r="G19" i="25"/>
  <c r="G75" i="42" s="1"/>
  <c r="E19" i="25"/>
  <c r="E75" i="42" s="1"/>
  <c r="C19" i="25"/>
  <c r="C75" i="42" s="1"/>
  <c r="O18" i="8"/>
  <c r="M59" i="42" s="1"/>
  <c r="M18" i="8"/>
  <c r="K59" i="42" s="1"/>
  <c r="K18" i="8"/>
  <c r="I59" i="42" s="1"/>
  <c r="G18" i="8"/>
  <c r="G59" i="42" s="1"/>
  <c r="E18" i="8"/>
  <c r="E59" i="42" s="1"/>
  <c r="C18" i="8"/>
  <c r="C59" i="42" s="1"/>
  <c r="O10" i="3"/>
  <c r="M45" i="42" s="1"/>
  <c r="M10" i="3"/>
  <c r="K45" i="42" s="1"/>
  <c r="K10" i="3"/>
  <c r="I45" i="42" s="1"/>
  <c r="G10" i="3"/>
  <c r="G45" i="42" s="1"/>
  <c r="E10" i="3"/>
  <c r="E45" i="42" s="1"/>
  <c r="C10" i="3"/>
  <c r="C45" i="42" s="1"/>
  <c r="O12" i="2"/>
  <c r="M38" i="42" s="1"/>
  <c r="M12" i="2"/>
  <c r="K38" i="42" s="1"/>
  <c r="K12" i="2"/>
  <c r="I38" i="42" s="1"/>
  <c r="G12" i="2"/>
  <c r="G38" i="42" s="1"/>
  <c r="E12" i="2"/>
  <c r="E38" i="42" s="1"/>
  <c r="C12" i="2"/>
  <c r="C38" i="42" s="1"/>
  <c r="O16" i="7"/>
  <c r="M29" i="42" s="1"/>
  <c r="M16" i="7"/>
  <c r="K29" i="42" s="1"/>
  <c r="K16" i="7"/>
  <c r="I29" i="42" s="1"/>
  <c r="G16" i="7"/>
  <c r="G29" i="42" s="1"/>
  <c r="E16" i="7"/>
  <c r="E29" i="42" s="1"/>
  <c r="C16" i="7"/>
  <c r="C29" i="42" s="1"/>
  <c r="O15" i="19"/>
  <c r="M16" i="42" s="1"/>
  <c r="M15" i="19"/>
  <c r="K16" i="42" s="1"/>
  <c r="K15" i="19"/>
  <c r="I16" i="42" s="1"/>
  <c r="G15" i="19"/>
  <c r="G16" i="42" s="1"/>
  <c r="E15" i="19"/>
  <c r="E16" i="42" s="1"/>
  <c r="C15" i="19"/>
  <c r="C16" i="42" s="1"/>
  <c r="P19" i="39"/>
  <c r="N165" i="42" s="1"/>
  <c r="P7" i="39"/>
  <c r="N153" i="42" s="1"/>
  <c r="B140" i="42" l="1"/>
  <c r="J7" i="40"/>
  <c r="J8" i="40"/>
  <c r="J9" i="40"/>
  <c r="I16" i="7"/>
  <c r="I10" i="3"/>
  <c r="Q10" i="3"/>
  <c r="I19" i="25"/>
  <c r="Q19" i="25"/>
  <c r="I18" i="41"/>
  <c r="I15" i="4"/>
  <c r="Q15" i="4"/>
  <c r="I18" i="5"/>
  <c r="Q18" i="5"/>
  <c r="I15" i="19"/>
  <c r="Q15" i="19"/>
  <c r="I12" i="2"/>
  <c r="Q12" i="2"/>
  <c r="I18" i="8"/>
  <c r="Q18" i="8"/>
  <c r="I13" i="6"/>
  <c r="Q13" i="6"/>
  <c r="F10" i="40"/>
  <c r="F140" i="42" s="1"/>
  <c r="J140" i="42"/>
  <c r="N140" i="42"/>
  <c r="D10" i="40"/>
  <c r="D140" i="42" s="1"/>
  <c r="H10" i="40"/>
  <c r="H140" i="42" s="1"/>
  <c r="L140" i="42"/>
  <c r="I10" i="40"/>
  <c r="D15" i="40"/>
  <c r="D16" i="40"/>
  <c r="D17" i="40"/>
  <c r="D18" i="40"/>
  <c r="D19" i="40"/>
  <c r="D20" i="40"/>
  <c r="F15" i="40"/>
  <c r="F16" i="40"/>
  <c r="F17" i="40"/>
  <c r="F18" i="40"/>
  <c r="F19" i="40"/>
  <c r="F20" i="40"/>
  <c r="H15" i="40"/>
  <c r="H16" i="40"/>
  <c r="H17" i="40"/>
  <c r="H18" i="40"/>
  <c r="H19" i="40"/>
  <c r="H20" i="40"/>
  <c r="N15" i="40"/>
  <c r="N16" i="40"/>
  <c r="N17" i="40"/>
  <c r="N18" i="40"/>
  <c r="N19" i="40"/>
  <c r="N20" i="40"/>
  <c r="P15" i="40"/>
  <c r="P16" i="40"/>
  <c r="P17" i="40"/>
  <c r="P18" i="40"/>
  <c r="P19" i="40"/>
  <c r="P20" i="40"/>
  <c r="L15" i="40"/>
  <c r="L16" i="40"/>
  <c r="L17" i="40"/>
  <c r="L18" i="40"/>
  <c r="L19" i="40"/>
  <c r="L20" i="40"/>
  <c r="I15" i="40"/>
  <c r="J15" i="40" s="1"/>
  <c r="I16" i="40"/>
  <c r="J16" i="40" s="1"/>
  <c r="I17" i="40"/>
  <c r="J17" i="40" s="1"/>
  <c r="I18" i="40"/>
  <c r="J18" i="40" s="1"/>
  <c r="I19" i="40"/>
  <c r="J19" i="40" s="1"/>
  <c r="I20" i="40"/>
  <c r="J20" i="40" s="1"/>
  <c r="O20" i="39"/>
  <c r="M20" i="39"/>
  <c r="K166" i="42" s="1"/>
  <c r="K20" i="39"/>
  <c r="I166" i="42" s="1"/>
  <c r="G20" i="39"/>
  <c r="G166" i="42" s="1"/>
  <c r="E20" i="39"/>
  <c r="E166" i="42" s="1"/>
  <c r="C15" i="39"/>
  <c r="C161" i="42" s="1"/>
  <c r="C20" i="39"/>
  <c r="C166" i="42" s="1"/>
  <c r="O15" i="39"/>
  <c r="M161" i="42" s="1"/>
  <c r="M15" i="39"/>
  <c r="K161" i="42" s="1"/>
  <c r="K15" i="39"/>
  <c r="I161" i="42" s="1"/>
  <c r="G15" i="39"/>
  <c r="G161" i="42" s="1"/>
  <c r="E15" i="39"/>
  <c r="E161" i="42" s="1"/>
  <c r="O21" i="40"/>
  <c r="M21" i="40"/>
  <c r="K21" i="40"/>
  <c r="G21" i="40"/>
  <c r="E21" i="40"/>
  <c r="C21" i="40"/>
  <c r="P17" i="41"/>
  <c r="N89" i="42" s="1"/>
  <c r="Q16" i="41"/>
  <c r="Q17" i="41"/>
  <c r="I16" i="41"/>
  <c r="I17" i="41"/>
  <c r="C34" i="5"/>
  <c r="E34" i="5"/>
  <c r="G34" i="5"/>
  <c r="K34" i="5"/>
  <c r="M34" i="5"/>
  <c r="O34" i="5"/>
  <c r="O45" i="4"/>
  <c r="M45" i="4"/>
  <c r="K45" i="4"/>
  <c r="G45" i="4"/>
  <c r="E45" i="4"/>
  <c r="C45" i="4"/>
  <c r="I45" i="4" s="1"/>
  <c r="O39" i="4"/>
  <c r="M39" i="4"/>
  <c r="K39" i="4"/>
  <c r="E39" i="4"/>
  <c r="C39" i="4"/>
  <c r="E28" i="4"/>
  <c r="G28" i="4"/>
  <c r="K28" i="4"/>
  <c r="M28" i="4"/>
  <c r="O28" i="4"/>
  <c r="O35" i="6"/>
  <c r="M106" i="42" s="1"/>
  <c r="M35" i="6"/>
  <c r="K106" i="42" s="1"/>
  <c r="K35" i="6"/>
  <c r="I106" i="42" s="1"/>
  <c r="G35" i="6"/>
  <c r="G106" i="42" s="1"/>
  <c r="E35" i="6"/>
  <c r="E106" i="42" s="1"/>
  <c r="C29" i="6"/>
  <c r="E29" i="6"/>
  <c r="G29" i="6"/>
  <c r="K29" i="6"/>
  <c r="M29" i="6"/>
  <c r="O29" i="6"/>
  <c r="O36" i="41"/>
  <c r="M36" i="41"/>
  <c r="K36" i="41"/>
  <c r="G36" i="41"/>
  <c r="E36" i="41"/>
  <c r="C36" i="41"/>
  <c r="C38" i="25"/>
  <c r="E38" i="25"/>
  <c r="G38" i="25"/>
  <c r="K38" i="25"/>
  <c r="M38" i="25"/>
  <c r="O38" i="25"/>
  <c r="I10" i="7"/>
  <c r="H14" i="7"/>
  <c r="H27" i="42" s="1"/>
  <c r="F14" i="7"/>
  <c r="F27" i="42" s="1"/>
  <c r="D7" i="19"/>
  <c r="D8" i="42" s="1"/>
  <c r="P14" i="19"/>
  <c r="N15" i="42" s="1"/>
  <c r="N14" i="19"/>
  <c r="L15" i="42" s="1"/>
  <c r="L14" i="19"/>
  <c r="J15" i="42" s="1"/>
  <c r="H14" i="19"/>
  <c r="H15" i="42" s="1"/>
  <c r="F14" i="19"/>
  <c r="F15" i="42" s="1"/>
  <c r="D14" i="19"/>
  <c r="D15" i="42" s="1"/>
  <c r="P13" i="19"/>
  <c r="N14" i="42" s="1"/>
  <c r="N13" i="19"/>
  <c r="L14" i="42" s="1"/>
  <c r="L13" i="19"/>
  <c r="J14" i="42" s="1"/>
  <c r="H13" i="19"/>
  <c r="H14" i="42" s="1"/>
  <c r="F13" i="19"/>
  <c r="F14" i="42" s="1"/>
  <c r="D13" i="19"/>
  <c r="D14" i="42" s="1"/>
  <c r="P12" i="19"/>
  <c r="N13" i="42" s="1"/>
  <c r="N12" i="19"/>
  <c r="L13" i="42" s="1"/>
  <c r="L12" i="19"/>
  <c r="J13" i="42" s="1"/>
  <c r="H12" i="19"/>
  <c r="H13" i="42" s="1"/>
  <c r="F12" i="19"/>
  <c r="F13" i="42" s="1"/>
  <c r="D12" i="19"/>
  <c r="D13" i="42" s="1"/>
  <c r="P11" i="19"/>
  <c r="N12" i="42" s="1"/>
  <c r="N11" i="19"/>
  <c r="L12" i="42" s="1"/>
  <c r="L11" i="19"/>
  <c r="J12" i="42" s="1"/>
  <c r="H11" i="19"/>
  <c r="H12" i="42" s="1"/>
  <c r="F11" i="19"/>
  <c r="F12" i="42" s="1"/>
  <c r="D11" i="19"/>
  <c r="D12" i="42" s="1"/>
  <c r="P10" i="19"/>
  <c r="N11" i="42" s="1"/>
  <c r="N10" i="19"/>
  <c r="L11" i="42" s="1"/>
  <c r="L10" i="19"/>
  <c r="J11" i="42" s="1"/>
  <c r="H10" i="19"/>
  <c r="H11" i="42" s="1"/>
  <c r="F10" i="19"/>
  <c r="F11" i="42" s="1"/>
  <c r="D10" i="19"/>
  <c r="D11" i="42" s="1"/>
  <c r="P9" i="19"/>
  <c r="N10" i="42" s="1"/>
  <c r="N9" i="19"/>
  <c r="L10" i="42" s="1"/>
  <c r="L9" i="19"/>
  <c r="J10" i="42" s="1"/>
  <c r="H9" i="19"/>
  <c r="H10" i="42" s="1"/>
  <c r="F9" i="19"/>
  <c r="F10" i="42" s="1"/>
  <c r="D9" i="19"/>
  <c r="D10" i="42" s="1"/>
  <c r="P8" i="19"/>
  <c r="N9" i="42" s="1"/>
  <c r="N8" i="19"/>
  <c r="L9" i="42" s="1"/>
  <c r="L8" i="19"/>
  <c r="J9" i="42" s="1"/>
  <c r="H8" i="19"/>
  <c r="H9" i="42" s="1"/>
  <c r="F8" i="19"/>
  <c r="F9" i="42" s="1"/>
  <c r="D8" i="19"/>
  <c r="D9" i="42" s="1"/>
  <c r="P7" i="19"/>
  <c r="N8" i="42" s="1"/>
  <c r="N7" i="19"/>
  <c r="L8" i="42" s="1"/>
  <c r="L7" i="19"/>
  <c r="J8" i="42" s="1"/>
  <c r="H7" i="19"/>
  <c r="H8" i="42" s="1"/>
  <c r="F7" i="19"/>
  <c r="F8" i="42" s="1"/>
  <c r="I7" i="19"/>
  <c r="P44" i="4"/>
  <c r="P43" i="4"/>
  <c r="N44" i="4"/>
  <c r="N43" i="4"/>
  <c r="L44" i="4"/>
  <c r="L43" i="4"/>
  <c r="H44" i="4"/>
  <c r="H43" i="4"/>
  <c r="F44" i="4"/>
  <c r="F43" i="4"/>
  <c r="D44" i="4"/>
  <c r="D43" i="4"/>
  <c r="P38" i="4"/>
  <c r="P37" i="4"/>
  <c r="P36" i="4"/>
  <c r="P35" i="4"/>
  <c r="P34" i="4"/>
  <c r="P33" i="4"/>
  <c r="P32" i="4"/>
  <c r="N38" i="4"/>
  <c r="N37" i="4"/>
  <c r="N36" i="4"/>
  <c r="N35" i="4"/>
  <c r="N34" i="4"/>
  <c r="N33" i="4"/>
  <c r="N32" i="4"/>
  <c r="L38" i="4"/>
  <c r="L37" i="4"/>
  <c r="L36" i="4"/>
  <c r="L35" i="4"/>
  <c r="L34" i="4"/>
  <c r="L33" i="4"/>
  <c r="L32" i="4"/>
  <c r="H38" i="4"/>
  <c r="H37" i="4"/>
  <c r="H36" i="4"/>
  <c r="H35" i="4"/>
  <c r="H34" i="4"/>
  <c r="H33" i="4"/>
  <c r="H32" i="4"/>
  <c r="F38" i="4"/>
  <c r="F37" i="4"/>
  <c r="F36" i="4"/>
  <c r="F35" i="4"/>
  <c r="F34" i="4"/>
  <c r="F33" i="4"/>
  <c r="F32" i="4"/>
  <c r="D38" i="4"/>
  <c r="D37" i="4"/>
  <c r="D36" i="4"/>
  <c r="D35" i="4"/>
  <c r="D34" i="4"/>
  <c r="D33" i="4"/>
  <c r="D32" i="4"/>
  <c r="R6" i="39"/>
  <c r="R18" i="39" s="1"/>
  <c r="R23" i="39" s="1"/>
  <c r="Q6" i="39"/>
  <c r="Q18" i="39" s="1"/>
  <c r="Q23" i="39" s="1"/>
  <c r="P6" i="39"/>
  <c r="P18" i="39" s="1"/>
  <c r="P23" i="39" s="1"/>
  <c r="O6" i="39"/>
  <c r="O18" i="39" s="1"/>
  <c r="O23" i="39" s="1"/>
  <c r="N6" i="39"/>
  <c r="N18" i="39" s="1"/>
  <c r="N23" i="39" s="1"/>
  <c r="M6" i="39"/>
  <c r="M18" i="39" s="1"/>
  <c r="M23" i="39" s="1"/>
  <c r="L6" i="39"/>
  <c r="L18" i="39" s="1"/>
  <c r="L23" i="39" s="1"/>
  <c r="K6" i="39"/>
  <c r="K18" i="39" s="1"/>
  <c r="K23" i="39" s="1"/>
  <c r="J6" i="39"/>
  <c r="J18" i="39" s="1"/>
  <c r="J23" i="39" s="1"/>
  <c r="I6" i="39"/>
  <c r="I18" i="39" s="1"/>
  <c r="I23" i="39" s="1"/>
  <c r="H6" i="39"/>
  <c r="H18" i="39" s="1"/>
  <c r="H23" i="39" s="1"/>
  <c r="G6" i="39"/>
  <c r="G18" i="39" s="1"/>
  <c r="G23" i="39" s="1"/>
  <c r="F6" i="39"/>
  <c r="F18" i="39" s="1"/>
  <c r="F23" i="39" s="1"/>
  <c r="E6" i="39"/>
  <c r="E18" i="39" s="1"/>
  <c r="E23" i="39" s="1"/>
  <c r="D6" i="39"/>
  <c r="D18" i="39" s="1"/>
  <c r="D23" i="39" s="1"/>
  <c r="C6" i="39"/>
  <c r="C18" i="39" s="1"/>
  <c r="C23" i="39" s="1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R6" i="4"/>
  <c r="R42" i="4" s="1"/>
  <c r="Q6" i="4"/>
  <c r="Q42" i="4" s="1"/>
  <c r="P6" i="4"/>
  <c r="P42" i="4" s="1"/>
  <c r="O6" i="4"/>
  <c r="O42" i="4" s="1"/>
  <c r="N6" i="4"/>
  <c r="N42" i="4" s="1"/>
  <c r="M6" i="4"/>
  <c r="M42" i="4" s="1"/>
  <c r="L6" i="4"/>
  <c r="L42" i="4" s="1"/>
  <c r="K6" i="4"/>
  <c r="K42" i="4" s="1"/>
  <c r="J6" i="4"/>
  <c r="J42" i="4" s="1"/>
  <c r="I6" i="4"/>
  <c r="I42" i="4" s="1"/>
  <c r="H6" i="4"/>
  <c r="H42" i="4" s="1"/>
  <c r="G6" i="4"/>
  <c r="G42" i="4" s="1"/>
  <c r="F6" i="4"/>
  <c r="F42" i="4" s="1"/>
  <c r="E6" i="4"/>
  <c r="E42" i="4" s="1"/>
  <c r="D6" i="4"/>
  <c r="D42" i="4" s="1"/>
  <c r="C6" i="4"/>
  <c r="C42" i="4" s="1"/>
  <c r="C40" i="34"/>
  <c r="E40" i="34" s="1"/>
  <c r="C39" i="34"/>
  <c r="C37" i="34"/>
  <c r="E37" i="34" s="1"/>
  <c r="C36" i="34"/>
  <c r="C35" i="34"/>
  <c r="E35" i="34" s="1"/>
  <c r="C34" i="34"/>
  <c r="E34" i="34" s="1"/>
  <c r="C33" i="34"/>
  <c r="E33" i="34" s="1"/>
  <c r="C31" i="34"/>
  <c r="C30" i="34"/>
  <c r="E30" i="34" s="1"/>
  <c r="C29" i="34"/>
  <c r="E29" i="34" s="1"/>
  <c r="C27" i="34"/>
  <c r="C20" i="34"/>
  <c r="E20" i="34" s="1"/>
  <c r="C19" i="34"/>
  <c r="E19" i="34" s="1"/>
  <c r="C18" i="34"/>
  <c r="E18" i="34" s="1"/>
  <c r="C16" i="34"/>
  <c r="M16" i="34" s="1"/>
  <c r="C15" i="34"/>
  <c r="C14" i="34"/>
  <c r="E14" i="34" s="1"/>
  <c r="C13" i="34"/>
  <c r="C12" i="34"/>
  <c r="C11" i="34"/>
  <c r="C10" i="34"/>
  <c r="C9" i="34"/>
  <c r="C7" i="34"/>
  <c r="C6" i="34"/>
  <c r="C5" i="34"/>
  <c r="C4" i="34"/>
  <c r="O16" i="34"/>
  <c r="B18" i="41"/>
  <c r="B90" i="42" s="1"/>
  <c r="D17" i="41"/>
  <c r="D89" i="42" s="1"/>
  <c r="F17" i="41"/>
  <c r="F89" i="42" s="1"/>
  <c r="H17" i="41"/>
  <c r="H89" i="42" s="1"/>
  <c r="L17" i="41"/>
  <c r="J89" i="42" s="1"/>
  <c r="N17" i="41"/>
  <c r="L89" i="42" s="1"/>
  <c r="D16" i="41"/>
  <c r="D88" i="42" s="1"/>
  <c r="F16" i="41"/>
  <c r="F88" i="42" s="1"/>
  <c r="H16" i="41"/>
  <c r="H88" i="42" s="1"/>
  <c r="L16" i="41"/>
  <c r="J88" i="42" s="1"/>
  <c r="N16" i="41"/>
  <c r="L88" i="42" s="1"/>
  <c r="P16" i="41"/>
  <c r="N88" i="42" s="1"/>
  <c r="B36" i="41"/>
  <c r="Q35" i="41"/>
  <c r="R35" i="41" s="1"/>
  <c r="P35" i="41"/>
  <c r="N35" i="41"/>
  <c r="L35" i="41"/>
  <c r="I35" i="41"/>
  <c r="J35" i="41" s="1"/>
  <c r="H35" i="41"/>
  <c r="F35" i="41"/>
  <c r="D35" i="41"/>
  <c r="Q34" i="41"/>
  <c r="R34" i="41" s="1"/>
  <c r="P34" i="41"/>
  <c r="N34" i="41"/>
  <c r="L34" i="41"/>
  <c r="I34" i="41"/>
  <c r="J34" i="41" s="1"/>
  <c r="H34" i="41"/>
  <c r="F34" i="41"/>
  <c r="D34" i="41"/>
  <c r="Q33" i="41"/>
  <c r="R33" i="41" s="1"/>
  <c r="P33" i="41"/>
  <c r="N33" i="41"/>
  <c r="L33" i="41"/>
  <c r="I33" i="41"/>
  <c r="J33" i="41" s="1"/>
  <c r="H33" i="41"/>
  <c r="F33" i="41"/>
  <c r="D33" i="41"/>
  <c r="Q32" i="41"/>
  <c r="R32" i="41" s="1"/>
  <c r="P32" i="41"/>
  <c r="N32" i="41"/>
  <c r="L32" i="41"/>
  <c r="I32" i="41"/>
  <c r="J32" i="41" s="1"/>
  <c r="H32" i="41"/>
  <c r="F32" i="41"/>
  <c r="D32" i="41"/>
  <c r="Q31" i="41"/>
  <c r="R31" i="41" s="1"/>
  <c r="P31" i="41"/>
  <c r="N31" i="41"/>
  <c r="L31" i="41"/>
  <c r="I31" i="41"/>
  <c r="J31" i="41" s="1"/>
  <c r="H31" i="41"/>
  <c r="F31" i="41"/>
  <c r="D31" i="41"/>
  <c r="Q30" i="41"/>
  <c r="R30" i="41" s="1"/>
  <c r="P30" i="41"/>
  <c r="N30" i="41"/>
  <c r="L30" i="41"/>
  <c r="I30" i="41"/>
  <c r="J30" i="41" s="1"/>
  <c r="H30" i="41"/>
  <c r="F30" i="41"/>
  <c r="D30" i="41"/>
  <c r="Q29" i="41"/>
  <c r="R29" i="41" s="1"/>
  <c r="P29" i="41"/>
  <c r="N29" i="41"/>
  <c r="L29" i="41"/>
  <c r="I29" i="41"/>
  <c r="J29" i="41" s="1"/>
  <c r="H29" i="41"/>
  <c r="F29" i="41"/>
  <c r="D29" i="41"/>
  <c r="Q28" i="41"/>
  <c r="R28" i="41" s="1"/>
  <c r="P28" i="41"/>
  <c r="N28" i="41"/>
  <c r="L28" i="41"/>
  <c r="I28" i="41"/>
  <c r="J28" i="41" s="1"/>
  <c r="H28" i="41"/>
  <c r="F28" i="41"/>
  <c r="D28" i="41"/>
  <c r="Q27" i="41"/>
  <c r="R27" i="41" s="1"/>
  <c r="P27" i="41"/>
  <c r="N27" i="41"/>
  <c r="L27" i="41"/>
  <c r="I27" i="41"/>
  <c r="J27" i="41" s="1"/>
  <c r="H27" i="41"/>
  <c r="F27" i="41"/>
  <c r="D27" i="41"/>
  <c r="Q26" i="41"/>
  <c r="R26" i="41" s="1"/>
  <c r="P26" i="41"/>
  <c r="N26" i="41"/>
  <c r="L26" i="41"/>
  <c r="I26" i="41"/>
  <c r="J26" i="41" s="1"/>
  <c r="H26" i="41"/>
  <c r="F26" i="41"/>
  <c r="D26" i="41"/>
  <c r="Q25" i="41"/>
  <c r="R25" i="41" s="1"/>
  <c r="P25" i="41"/>
  <c r="N25" i="41"/>
  <c r="L25" i="41"/>
  <c r="I25" i="41"/>
  <c r="J25" i="41" s="1"/>
  <c r="H25" i="41"/>
  <c r="F25" i="41"/>
  <c r="D25" i="41"/>
  <c r="Q24" i="41"/>
  <c r="R24" i="41" s="1"/>
  <c r="P24" i="41"/>
  <c r="N24" i="41"/>
  <c r="L24" i="41"/>
  <c r="I24" i="41"/>
  <c r="J24" i="41" s="1"/>
  <c r="H24" i="41"/>
  <c r="F24" i="41"/>
  <c r="D24" i="41"/>
  <c r="Q23" i="41"/>
  <c r="R23" i="41" s="1"/>
  <c r="P23" i="41"/>
  <c r="N23" i="41"/>
  <c r="L23" i="41"/>
  <c r="I23" i="41"/>
  <c r="J23" i="41" s="1"/>
  <c r="H23" i="41"/>
  <c r="F23" i="41"/>
  <c r="D23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Q15" i="41"/>
  <c r="P15" i="41"/>
  <c r="N87" i="42" s="1"/>
  <c r="N15" i="41"/>
  <c r="L87" i="42" s="1"/>
  <c r="L15" i="41"/>
  <c r="J87" i="42" s="1"/>
  <c r="I15" i="41"/>
  <c r="H15" i="41"/>
  <c r="H87" i="42" s="1"/>
  <c r="F15" i="41"/>
  <c r="F87" i="42" s="1"/>
  <c r="D15" i="41"/>
  <c r="D87" i="42" s="1"/>
  <c r="Q14" i="41"/>
  <c r="P14" i="41"/>
  <c r="N86" i="42" s="1"/>
  <c r="N14" i="41"/>
  <c r="L86" i="42" s="1"/>
  <c r="L14" i="41"/>
  <c r="J86" i="42" s="1"/>
  <c r="I14" i="41"/>
  <c r="H14" i="41"/>
  <c r="H86" i="42" s="1"/>
  <c r="F14" i="41"/>
  <c r="F86" i="42" s="1"/>
  <c r="D14" i="41"/>
  <c r="D86" i="42" s="1"/>
  <c r="Q13" i="41"/>
  <c r="P13" i="41"/>
  <c r="N85" i="42" s="1"/>
  <c r="N13" i="41"/>
  <c r="L85" i="42" s="1"/>
  <c r="L13" i="41"/>
  <c r="J85" i="42" s="1"/>
  <c r="I13" i="41"/>
  <c r="H13" i="41"/>
  <c r="H85" i="42" s="1"/>
  <c r="F13" i="41"/>
  <c r="F85" i="42" s="1"/>
  <c r="D13" i="41"/>
  <c r="D85" i="42" s="1"/>
  <c r="Q12" i="41"/>
  <c r="P12" i="41"/>
  <c r="N84" i="42" s="1"/>
  <c r="N12" i="41"/>
  <c r="L84" i="42" s="1"/>
  <c r="L12" i="41"/>
  <c r="J84" i="42" s="1"/>
  <c r="I12" i="41"/>
  <c r="H12" i="41"/>
  <c r="H84" i="42" s="1"/>
  <c r="F12" i="41"/>
  <c r="F84" i="42" s="1"/>
  <c r="D12" i="41"/>
  <c r="D84" i="42" s="1"/>
  <c r="Q11" i="41"/>
  <c r="P11" i="41"/>
  <c r="N83" i="42" s="1"/>
  <c r="N11" i="41"/>
  <c r="L83" i="42" s="1"/>
  <c r="L11" i="41"/>
  <c r="J83" i="42" s="1"/>
  <c r="I11" i="41"/>
  <c r="H11" i="41"/>
  <c r="H83" i="42" s="1"/>
  <c r="F11" i="41"/>
  <c r="F83" i="42" s="1"/>
  <c r="D11" i="41"/>
  <c r="D83" i="42" s="1"/>
  <c r="Q10" i="41"/>
  <c r="P10" i="41"/>
  <c r="N82" i="42" s="1"/>
  <c r="N10" i="41"/>
  <c r="L82" i="42" s="1"/>
  <c r="L10" i="41"/>
  <c r="J82" i="42" s="1"/>
  <c r="I10" i="41"/>
  <c r="H10" i="41"/>
  <c r="H82" i="42" s="1"/>
  <c r="F10" i="41"/>
  <c r="F82" i="42" s="1"/>
  <c r="D10" i="41"/>
  <c r="D82" i="42" s="1"/>
  <c r="Q9" i="41"/>
  <c r="P9" i="41"/>
  <c r="N81" i="42" s="1"/>
  <c r="N9" i="41"/>
  <c r="L81" i="42" s="1"/>
  <c r="L9" i="41"/>
  <c r="J81" i="42" s="1"/>
  <c r="I9" i="41"/>
  <c r="H9" i="41"/>
  <c r="H81" i="42" s="1"/>
  <c r="F9" i="41"/>
  <c r="F81" i="42" s="1"/>
  <c r="D9" i="41"/>
  <c r="D81" i="42" s="1"/>
  <c r="Q8" i="41"/>
  <c r="P8" i="41"/>
  <c r="N80" i="42" s="1"/>
  <c r="N8" i="41"/>
  <c r="L80" i="42" s="1"/>
  <c r="L8" i="41"/>
  <c r="J80" i="42" s="1"/>
  <c r="I8" i="41"/>
  <c r="H8" i="41"/>
  <c r="H80" i="42" s="1"/>
  <c r="F8" i="41"/>
  <c r="F80" i="42" s="1"/>
  <c r="D8" i="41"/>
  <c r="D80" i="42" s="1"/>
  <c r="Q7" i="41"/>
  <c r="P7" i="41"/>
  <c r="N79" i="42" s="1"/>
  <c r="N7" i="41"/>
  <c r="L79" i="42" s="1"/>
  <c r="L7" i="41"/>
  <c r="J79" i="42" s="1"/>
  <c r="I7" i="41"/>
  <c r="H7" i="41"/>
  <c r="H79" i="42" s="1"/>
  <c r="F7" i="41"/>
  <c r="F79" i="42" s="1"/>
  <c r="D7" i="41"/>
  <c r="D79" i="42" s="1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P15" i="34"/>
  <c r="R15" i="34" s="1"/>
  <c r="P13" i="34"/>
  <c r="P12" i="34"/>
  <c r="P11" i="34"/>
  <c r="P10" i="34"/>
  <c r="P9" i="34"/>
  <c r="P8" i="34"/>
  <c r="P7" i="34"/>
  <c r="N15" i="34"/>
  <c r="N13" i="34"/>
  <c r="N12" i="34"/>
  <c r="N11" i="34"/>
  <c r="N10" i="34"/>
  <c r="N9" i="34"/>
  <c r="N8" i="34"/>
  <c r="N7" i="34"/>
  <c r="O7" i="34" s="1"/>
  <c r="L15" i="34"/>
  <c r="M15" i="34" s="1"/>
  <c r="L13" i="34"/>
  <c r="L12" i="34"/>
  <c r="L11" i="34"/>
  <c r="L10" i="34"/>
  <c r="L9" i="34"/>
  <c r="L8" i="34"/>
  <c r="L7" i="34"/>
  <c r="H15" i="34"/>
  <c r="H13" i="34"/>
  <c r="H12" i="34"/>
  <c r="H11" i="34"/>
  <c r="H10" i="34"/>
  <c r="H9" i="34"/>
  <c r="H8" i="34"/>
  <c r="H7" i="34"/>
  <c r="F15" i="34"/>
  <c r="F13" i="34"/>
  <c r="F12" i="34"/>
  <c r="F11" i="34"/>
  <c r="F10" i="34"/>
  <c r="F9" i="34"/>
  <c r="F8" i="34"/>
  <c r="F7" i="34"/>
  <c r="D15" i="34"/>
  <c r="D13" i="34"/>
  <c r="D12" i="34"/>
  <c r="D11" i="34"/>
  <c r="D10" i="34"/>
  <c r="D9" i="34"/>
  <c r="D8" i="34"/>
  <c r="J8" i="34" s="1"/>
  <c r="D7" i="34"/>
  <c r="C46" i="34"/>
  <c r="E46" i="34" s="1"/>
  <c r="C45" i="34"/>
  <c r="E45" i="34" s="1"/>
  <c r="C44" i="34"/>
  <c r="E44" i="34" s="1"/>
  <c r="C43" i="34"/>
  <c r="E43" i="34" s="1"/>
  <c r="C42" i="34"/>
  <c r="E42" i="34" s="1"/>
  <c r="B21" i="40"/>
  <c r="Q20" i="40"/>
  <c r="R20" i="40" s="1"/>
  <c r="Q19" i="40"/>
  <c r="R19" i="40" s="1"/>
  <c r="Q17" i="40"/>
  <c r="R17" i="40" s="1"/>
  <c r="Q15" i="40"/>
  <c r="R15" i="40" s="1"/>
  <c r="Q14" i="40"/>
  <c r="R14" i="40" s="1"/>
  <c r="P14" i="40"/>
  <c r="N14" i="40"/>
  <c r="L14" i="40"/>
  <c r="I14" i="40"/>
  <c r="J14" i="40" s="1"/>
  <c r="H14" i="40"/>
  <c r="F14" i="40"/>
  <c r="D14" i="40"/>
  <c r="O41" i="6"/>
  <c r="M41" i="6"/>
  <c r="K41" i="6"/>
  <c r="G41" i="6"/>
  <c r="E41" i="6"/>
  <c r="C41" i="6"/>
  <c r="B41" i="6"/>
  <c r="Q40" i="6"/>
  <c r="R40" i="6" s="1"/>
  <c r="P40" i="6"/>
  <c r="N40" i="6"/>
  <c r="L40" i="6"/>
  <c r="I40" i="6"/>
  <c r="J40" i="6" s="1"/>
  <c r="H40" i="6"/>
  <c r="F40" i="6"/>
  <c r="D40" i="6"/>
  <c r="Q39" i="6"/>
  <c r="R39" i="6" s="1"/>
  <c r="P39" i="6"/>
  <c r="N39" i="6"/>
  <c r="L39" i="6"/>
  <c r="I39" i="6"/>
  <c r="J39" i="6" s="1"/>
  <c r="H39" i="6"/>
  <c r="F39" i="6"/>
  <c r="D39" i="6"/>
  <c r="B45" i="4"/>
  <c r="Q44" i="4"/>
  <c r="R44" i="4" s="1"/>
  <c r="I44" i="4"/>
  <c r="J44" i="4" s="1"/>
  <c r="Q43" i="4"/>
  <c r="R43" i="4" s="1"/>
  <c r="I43" i="4"/>
  <c r="J43" i="4" s="1"/>
  <c r="E36" i="34"/>
  <c r="C32" i="34"/>
  <c r="E32" i="34" s="1"/>
  <c r="E31" i="34"/>
  <c r="C28" i="34"/>
  <c r="E28" i="34" s="1"/>
  <c r="E27" i="34"/>
  <c r="C8" i="34"/>
  <c r="C24" i="34"/>
  <c r="E24" i="34" s="1"/>
  <c r="C23" i="34"/>
  <c r="E23" i="34" s="1"/>
  <c r="C22" i="34"/>
  <c r="E22" i="34" s="1"/>
  <c r="C21" i="34"/>
  <c r="E21" i="34" s="1"/>
  <c r="R16" i="34"/>
  <c r="R14" i="34"/>
  <c r="J16" i="34"/>
  <c r="J14" i="34"/>
  <c r="K14" i="34" s="1"/>
  <c r="E16" i="34"/>
  <c r="G16" i="34" s="1"/>
  <c r="Q16" i="34" s="1"/>
  <c r="P6" i="34"/>
  <c r="P5" i="34"/>
  <c r="N6" i="34"/>
  <c r="N5" i="34"/>
  <c r="L6" i="34"/>
  <c r="L5" i="34"/>
  <c r="H6" i="34"/>
  <c r="H5" i="34"/>
  <c r="F6" i="34"/>
  <c r="F5" i="34"/>
  <c r="D6" i="34"/>
  <c r="J6" i="34" s="1"/>
  <c r="D5" i="34"/>
  <c r="J5" i="34" s="1"/>
  <c r="P4" i="34"/>
  <c r="N4" i="34"/>
  <c r="L4" i="34"/>
  <c r="H4" i="34"/>
  <c r="F4" i="34"/>
  <c r="D4" i="34"/>
  <c r="J12" i="34" l="1"/>
  <c r="M12" i="34"/>
  <c r="J15" i="34"/>
  <c r="K15" i="34" s="1"/>
  <c r="R7" i="34"/>
  <c r="S7" i="34" s="1"/>
  <c r="M14" i="34"/>
  <c r="R9" i="41"/>
  <c r="J10" i="41"/>
  <c r="R11" i="41"/>
  <c r="J12" i="41"/>
  <c r="R12" i="41"/>
  <c r="J13" i="41"/>
  <c r="R13" i="41"/>
  <c r="R14" i="41"/>
  <c r="J15" i="41"/>
  <c r="R15" i="41"/>
  <c r="J7" i="41"/>
  <c r="R7" i="41"/>
  <c r="J8" i="41"/>
  <c r="R8" i="41"/>
  <c r="J9" i="41"/>
  <c r="R10" i="41"/>
  <c r="J11" i="41"/>
  <c r="J14" i="41"/>
  <c r="J7" i="19"/>
  <c r="J17" i="41"/>
  <c r="R17" i="41"/>
  <c r="J10" i="40"/>
  <c r="J16" i="41"/>
  <c r="R16" i="41"/>
  <c r="J18" i="41"/>
  <c r="L18" i="41"/>
  <c r="J90" i="42" s="1"/>
  <c r="F18" i="41"/>
  <c r="F90" i="42" s="1"/>
  <c r="N45" i="4"/>
  <c r="N18" i="41"/>
  <c r="L90" i="42" s="1"/>
  <c r="H18" i="41"/>
  <c r="H90" i="42" s="1"/>
  <c r="D18" i="41"/>
  <c r="D90" i="42" s="1"/>
  <c r="M10" i="34"/>
  <c r="S14" i="34"/>
  <c r="S16" i="34"/>
  <c r="R11" i="34"/>
  <c r="S11" i="34" s="1"/>
  <c r="O14" i="34"/>
  <c r="M166" i="42"/>
  <c r="K5" i="34"/>
  <c r="M5" i="34"/>
  <c r="O5" i="34"/>
  <c r="K16" i="34"/>
  <c r="K12" i="34"/>
  <c r="O10" i="34"/>
  <c r="O12" i="34"/>
  <c r="P36" i="41"/>
  <c r="Q18" i="41"/>
  <c r="H45" i="4"/>
  <c r="J45" i="4"/>
  <c r="Q18" i="4"/>
  <c r="O18" i="4"/>
  <c r="M18" i="4"/>
  <c r="K18" i="4"/>
  <c r="I18" i="4"/>
  <c r="G18" i="4"/>
  <c r="E18" i="4"/>
  <c r="C18" i="4"/>
  <c r="E9" i="34"/>
  <c r="M11" i="34"/>
  <c r="R18" i="4"/>
  <c r="P18" i="4"/>
  <c r="N18" i="4"/>
  <c r="L18" i="4"/>
  <c r="J18" i="4"/>
  <c r="H18" i="4"/>
  <c r="F18" i="4"/>
  <c r="D18" i="4"/>
  <c r="E13" i="34"/>
  <c r="C41" i="34"/>
  <c r="E41" i="34" s="1"/>
  <c r="D17" i="34"/>
  <c r="H17" i="34"/>
  <c r="N17" i="34"/>
  <c r="Q45" i="4"/>
  <c r="R45" i="4" s="1"/>
  <c r="E11" i="34"/>
  <c r="G11" i="34" s="1"/>
  <c r="M13" i="34"/>
  <c r="O9" i="34"/>
  <c r="O11" i="34"/>
  <c r="O13" i="34"/>
  <c r="Q36" i="41"/>
  <c r="R36" i="41" s="1"/>
  <c r="C26" i="34"/>
  <c r="R9" i="34"/>
  <c r="S9" i="34" s="1"/>
  <c r="R13" i="34"/>
  <c r="S13" i="34" s="1"/>
  <c r="C17" i="34"/>
  <c r="C47" i="34"/>
  <c r="E47" i="34" s="1"/>
  <c r="F17" i="34"/>
  <c r="L17" i="34"/>
  <c r="P17" i="34"/>
  <c r="K6" i="34"/>
  <c r="M6" i="34"/>
  <c r="O6" i="34"/>
  <c r="E39" i="34"/>
  <c r="O15" i="34"/>
  <c r="O8" i="34"/>
  <c r="E15" i="34"/>
  <c r="G15" i="34" s="1"/>
  <c r="S15" i="34"/>
  <c r="O4" i="34"/>
  <c r="C25" i="34"/>
  <c r="E25" i="34" s="1"/>
  <c r="J7" i="34"/>
  <c r="K7" i="34" s="1"/>
  <c r="J9" i="34"/>
  <c r="K9" i="34" s="1"/>
  <c r="J11" i="34"/>
  <c r="K11" i="34" s="1"/>
  <c r="J13" i="34"/>
  <c r="K13" i="34" s="1"/>
  <c r="J10" i="34"/>
  <c r="K10" i="34" s="1"/>
  <c r="R8" i="34"/>
  <c r="S8" i="34" s="1"/>
  <c r="R10" i="34"/>
  <c r="S10" i="34" s="1"/>
  <c r="R12" i="34"/>
  <c r="S12" i="34" s="1"/>
  <c r="P18" i="41"/>
  <c r="N90" i="42" s="1"/>
  <c r="I36" i="41"/>
  <c r="J36" i="41" s="1"/>
  <c r="D36" i="41"/>
  <c r="F36" i="41"/>
  <c r="H36" i="41"/>
  <c r="L36" i="41"/>
  <c r="N36" i="41"/>
  <c r="G9" i="34"/>
  <c r="Q9" i="34" s="1"/>
  <c r="G14" i="34"/>
  <c r="Q14" i="34" s="1"/>
  <c r="F45" i="4"/>
  <c r="P45" i="4"/>
  <c r="F41" i="6"/>
  <c r="L41" i="6"/>
  <c r="P41" i="6"/>
  <c r="D41" i="6"/>
  <c r="H41" i="6"/>
  <c r="N41" i="6"/>
  <c r="Q21" i="40"/>
  <c r="R21" i="40" s="1"/>
  <c r="E12" i="34"/>
  <c r="G12" i="34" s="1"/>
  <c r="Q12" i="34" s="1"/>
  <c r="R6" i="34"/>
  <c r="S6" i="34" s="1"/>
  <c r="R5" i="34"/>
  <c r="S5" i="34" s="1"/>
  <c r="F21" i="40"/>
  <c r="P21" i="40"/>
  <c r="I21" i="40"/>
  <c r="J21" i="40" s="1"/>
  <c r="H21" i="40"/>
  <c r="N21" i="40"/>
  <c r="D21" i="40"/>
  <c r="L21" i="40"/>
  <c r="I41" i="6"/>
  <c r="J41" i="6" s="1"/>
  <c r="Q41" i="6"/>
  <c r="R41" i="6" s="1"/>
  <c r="D45" i="4"/>
  <c r="L45" i="4"/>
  <c r="M8" i="34"/>
  <c r="E8" i="34"/>
  <c r="K8" i="34"/>
  <c r="M9" i="34"/>
  <c r="E5" i="34"/>
  <c r="E6" i="34"/>
  <c r="G13" i="34"/>
  <c r="I16" i="34"/>
  <c r="E10" i="34"/>
  <c r="E7" i="34"/>
  <c r="M7" i="34"/>
  <c r="D39" i="5"/>
  <c r="O41" i="5"/>
  <c r="M41" i="5"/>
  <c r="K41" i="5"/>
  <c r="G41" i="5"/>
  <c r="E41" i="5"/>
  <c r="C41" i="5"/>
  <c r="B41" i="5"/>
  <c r="Q40" i="5"/>
  <c r="R40" i="5" s="1"/>
  <c r="P40" i="5"/>
  <c r="N40" i="5"/>
  <c r="L40" i="5"/>
  <c r="I40" i="5"/>
  <c r="J40" i="5" s="1"/>
  <c r="H40" i="5"/>
  <c r="F40" i="5"/>
  <c r="D40" i="5"/>
  <c r="Q39" i="5"/>
  <c r="R39" i="5" s="1"/>
  <c r="P39" i="5"/>
  <c r="N39" i="5"/>
  <c r="L39" i="5"/>
  <c r="I39" i="5"/>
  <c r="J39" i="5" s="1"/>
  <c r="H39" i="5"/>
  <c r="F39" i="5"/>
  <c r="I11" i="5"/>
  <c r="I12" i="5"/>
  <c r="I13" i="5"/>
  <c r="I14" i="5"/>
  <c r="I15" i="5"/>
  <c r="I16" i="5"/>
  <c r="I17" i="5"/>
  <c r="I10" i="5"/>
  <c r="I9" i="5"/>
  <c r="I8" i="5"/>
  <c r="I7" i="5"/>
  <c r="I15" i="25"/>
  <c r="I14" i="25"/>
  <c r="I13" i="25"/>
  <c r="Q20" i="9"/>
  <c r="R20" i="9" s="1"/>
  <c r="Q19" i="9"/>
  <c r="R19" i="9" s="1"/>
  <c r="Q18" i="9"/>
  <c r="R18" i="9" s="1"/>
  <c r="Q17" i="9"/>
  <c r="R17" i="9" s="1"/>
  <c r="Q16" i="9"/>
  <c r="R16" i="9" s="1"/>
  <c r="I20" i="9"/>
  <c r="J20" i="9" s="1"/>
  <c r="I19" i="9"/>
  <c r="J19" i="9" s="1"/>
  <c r="I18" i="9"/>
  <c r="J18" i="9" s="1"/>
  <c r="I17" i="9"/>
  <c r="J17" i="9" s="1"/>
  <c r="I16" i="9"/>
  <c r="J16" i="9" s="1"/>
  <c r="P20" i="9"/>
  <c r="P19" i="9"/>
  <c r="P18" i="9"/>
  <c r="P17" i="9"/>
  <c r="P16" i="9"/>
  <c r="N20" i="9"/>
  <c r="N19" i="9"/>
  <c r="N18" i="9"/>
  <c r="N17" i="9"/>
  <c r="N16" i="9"/>
  <c r="L20" i="9"/>
  <c r="L19" i="9"/>
  <c r="L18" i="9"/>
  <c r="L17" i="9"/>
  <c r="L16" i="9"/>
  <c r="H20" i="9"/>
  <c r="H19" i="9"/>
  <c r="H18" i="9"/>
  <c r="H17" i="9"/>
  <c r="H16" i="9"/>
  <c r="F20" i="9"/>
  <c r="F19" i="9"/>
  <c r="F18" i="9"/>
  <c r="F17" i="9"/>
  <c r="F16" i="9"/>
  <c r="D20" i="9"/>
  <c r="D19" i="9"/>
  <c r="D18" i="9"/>
  <c r="D17" i="9"/>
  <c r="D16" i="9"/>
  <c r="C6" i="3"/>
  <c r="D6" i="3"/>
  <c r="E6" i="3"/>
  <c r="E14" i="3" s="1"/>
  <c r="F6" i="3"/>
  <c r="G6" i="3"/>
  <c r="H6" i="3"/>
  <c r="I6" i="3"/>
  <c r="J6" i="3"/>
  <c r="K6" i="3"/>
  <c r="K14" i="3" s="1"/>
  <c r="L6" i="3"/>
  <c r="M6" i="3"/>
  <c r="N6" i="3"/>
  <c r="O6" i="3"/>
  <c r="O14" i="3" s="1"/>
  <c r="P6" i="3"/>
  <c r="Q6" i="3"/>
  <c r="R6" i="3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B35" i="6"/>
  <c r="B106" i="42" s="1"/>
  <c r="Q34" i="6"/>
  <c r="P34" i="6"/>
  <c r="N105" i="42" s="1"/>
  <c r="N34" i="6"/>
  <c r="L105" i="42" s="1"/>
  <c r="L34" i="6"/>
  <c r="J105" i="42" s="1"/>
  <c r="I34" i="6"/>
  <c r="H34" i="6"/>
  <c r="H105" i="42" s="1"/>
  <c r="F34" i="6"/>
  <c r="F105" i="42" s="1"/>
  <c r="D34" i="6"/>
  <c r="D105" i="42" s="1"/>
  <c r="Q33" i="6"/>
  <c r="P33" i="6"/>
  <c r="N104" i="42" s="1"/>
  <c r="N33" i="6"/>
  <c r="L104" i="42" s="1"/>
  <c r="L33" i="6"/>
  <c r="J104" i="42" s="1"/>
  <c r="I33" i="6"/>
  <c r="H33" i="6"/>
  <c r="H104" i="42" s="1"/>
  <c r="F33" i="6"/>
  <c r="F104" i="42" s="1"/>
  <c r="D33" i="6"/>
  <c r="D104" i="42" s="1"/>
  <c r="B20" i="39"/>
  <c r="B166" i="42" s="1"/>
  <c r="N19" i="39"/>
  <c r="L165" i="42" s="1"/>
  <c r="Q19" i="39"/>
  <c r="L19" i="39"/>
  <c r="J165" i="42" s="1"/>
  <c r="I19" i="39"/>
  <c r="F19" i="39"/>
  <c r="F165" i="42" s="1"/>
  <c r="B15" i="39"/>
  <c r="B161" i="42" s="1"/>
  <c r="Q14" i="39"/>
  <c r="P14" i="39"/>
  <c r="N160" i="42" s="1"/>
  <c r="N14" i="39"/>
  <c r="L160" i="42" s="1"/>
  <c r="L14" i="39"/>
  <c r="J160" i="42" s="1"/>
  <c r="I14" i="39"/>
  <c r="H14" i="39"/>
  <c r="H160" i="42" s="1"/>
  <c r="F14" i="39"/>
  <c r="F160" i="42" s="1"/>
  <c r="D14" i="39"/>
  <c r="D160" i="42" s="1"/>
  <c r="Q13" i="39"/>
  <c r="P13" i="39"/>
  <c r="N159" i="42" s="1"/>
  <c r="N13" i="39"/>
  <c r="L159" i="42" s="1"/>
  <c r="L13" i="39"/>
  <c r="J159" i="42" s="1"/>
  <c r="I13" i="39"/>
  <c r="H13" i="39"/>
  <c r="H159" i="42" s="1"/>
  <c r="F13" i="39"/>
  <c r="F159" i="42" s="1"/>
  <c r="D13" i="39"/>
  <c r="D159" i="42" s="1"/>
  <c r="Q12" i="39"/>
  <c r="P12" i="39"/>
  <c r="N158" i="42" s="1"/>
  <c r="N12" i="39"/>
  <c r="L158" i="42" s="1"/>
  <c r="L12" i="39"/>
  <c r="J158" i="42" s="1"/>
  <c r="I12" i="39"/>
  <c r="H12" i="39"/>
  <c r="H158" i="42" s="1"/>
  <c r="F12" i="39"/>
  <c r="F158" i="42" s="1"/>
  <c r="D12" i="39"/>
  <c r="D158" i="42" s="1"/>
  <c r="Q11" i="39"/>
  <c r="P11" i="39"/>
  <c r="N157" i="42" s="1"/>
  <c r="N11" i="39"/>
  <c r="L157" i="42" s="1"/>
  <c r="L11" i="39"/>
  <c r="J157" i="42" s="1"/>
  <c r="I11" i="39"/>
  <c r="H11" i="39"/>
  <c r="H157" i="42" s="1"/>
  <c r="F11" i="39"/>
  <c r="F157" i="42" s="1"/>
  <c r="D11" i="39"/>
  <c r="D157" i="42" s="1"/>
  <c r="Q10" i="39"/>
  <c r="P10" i="39"/>
  <c r="N156" i="42" s="1"/>
  <c r="N10" i="39"/>
  <c r="L156" i="42" s="1"/>
  <c r="L10" i="39"/>
  <c r="J156" i="42" s="1"/>
  <c r="I10" i="39"/>
  <c r="H10" i="39"/>
  <c r="H156" i="42" s="1"/>
  <c r="F10" i="39"/>
  <c r="F156" i="42" s="1"/>
  <c r="D10" i="39"/>
  <c r="D156" i="42" s="1"/>
  <c r="Q9" i="39"/>
  <c r="P9" i="39"/>
  <c r="N155" i="42" s="1"/>
  <c r="N9" i="39"/>
  <c r="L155" i="42" s="1"/>
  <c r="L9" i="39"/>
  <c r="J155" i="42" s="1"/>
  <c r="I9" i="39"/>
  <c r="H9" i="39"/>
  <c r="H155" i="42" s="1"/>
  <c r="F9" i="39"/>
  <c r="F155" i="42" s="1"/>
  <c r="D9" i="39"/>
  <c r="D155" i="42" s="1"/>
  <c r="Q8" i="39"/>
  <c r="P8" i="39"/>
  <c r="N154" i="42" s="1"/>
  <c r="N8" i="39"/>
  <c r="L154" i="42" s="1"/>
  <c r="L8" i="39"/>
  <c r="J154" i="42" s="1"/>
  <c r="I8" i="39"/>
  <c r="H8" i="39"/>
  <c r="H154" i="42" s="1"/>
  <c r="F8" i="39"/>
  <c r="F154" i="42" s="1"/>
  <c r="D8" i="39"/>
  <c r="D154" i="42" s="1"/>
  <c r="Q7" i="39"/>
  <c r="N7" i="39"/>
  <c r="L153" i="42" s="1"/>
  <c r="L7" i="39"/>
  <c r="J153" i="42" s="1"/>
  <c r="I7" i="39"/>
  <c r="H7" i="39"/>
  <c r="H153" i="42" s="1"/>
  <c r="F7" i="39"/>
  <c r="F153" i="42" s="1"/>
  <c r="D7" i="39"/>
  <c r="D153" i="42" s="1"/>
  <c r="O21" i="9"/>
  <c r="M21" i="9"/>
  <c r="K21" i="9"/>
  <c r="G21" i="9"/>
  <c r="E21" i="9"/>
  <c r="C21" i="9"/>
  <c r="B21" i="9"/>
  <c r="P21" i="9" s="1"/>
  <c r="D7" i="9"/>
  <c r="D144" i="42" s="1"/>
  <c r="F7" i="9"/>
  <c r="F144" i="42" s="1"/>
  <c r="H7" i="9"/>
  <c r="H144" i="42" s="1"/>
  <c r="I7" i="9"/>
  <c r="L7" i="9"/>
  <c r="J144" i="42" s="1"/>
  <c r="N7" i="9"/>
  <c r="L144" i="42" s="1"/>
  <c r="P7" i="9"/>
  <c r="N144" i="42" s="1"/>
  <c r="Q7" i="9"/>
  <c r="B12" i="9"/>
  <c r="B149" i="42" s="1"/>
  <c r="C12" i="9"/>
  <c r="E12" i="9"/>
  <c r="E149" i="42" s="1"/>
  <c r="G12" i="9"/>
  <c r="K12" i="9"/>
  <c r="M12" i="9"/>
  <c r="O12" i="9"/>
  <c r="B38" i="25"/>
  <c r="H38" i="25" s="1"/>
  <c r="B15" i="4"/>
  <c r="J15" i="4" s="1"/>
  <c r="D14" i="4"/>
  <c r="D117" i="42" s="1"/>
  <c r="G39" i="4"/>
  <c r="B39" i="4"/>
  <c r="Q38" i="4"/>
  <c r="R38" i="4" s="1"/>
  <c r="I38" i="4"/>
  <c r="J38" i="4" s="1"/>
  <c r="Q37" i="4"/>
  <c r="R37" i="4" s="1"/>
  <c r="I37" i="4"/>
  <c r="J37" i="4" s="1"/>
  <c r="Q36" i="4"/>
  <c r="R36" i="4" s="1"/>
  <c r="I36" i="4"/>
  <c r="J36" i="4" s="1"/>
  <c r="Q35" i="4"/>
  <c r="R35" i="4" s="1"/>
  <c r="I35" i="4"/>
  <c r="J35" i="4" s="1"/>
  <c r="Q34" i="4"/>
  <c r="R34" i="4" s="1"/>
  <c r="I34" i="4"/>
  <c r="J34" i="4" s="1"/>
  <c r="Q33" i="4"/>
  <c r="R33" i="4" s="1"/>
  <c r="I33" i="4"/>
  <c r="J33" i="4" s="1"/>
  <c r="Q32" i="4"/>
  <c r="R32" i="4" s="1"/>
  <c r="I32" i="4"/>
  <c r="J32" i="4" s="1"/>
  <c r="Q29" i="25"/>
  <c r="R29" i="25" s="1"/>
  <c r="Q30" i="25"/>
  <c r="R30" i="25" s="1"/>
  <c r="Q31" i="25"/>
  <c r="R31" i="25" s="1"/>
  <c r="Q32" i="25"/>
  <c r="R32" i="25" s="1"/>
  <c r="Q33" i="25"/>
  <c r="R33" i="25" s="1"/>
  <c r="Q34" i="25"/>
  <c r="R34" i="25" s="1"/>
  <c r="Q35" i="25"/>
  <c r="R35" i="25" s="1"/>
  <c r="Q36" i="25"/>
  <c r="R36" i="25" s="1"/>
  <c r="Q37" i="25"/>
  <c r="R37" i="25" s="1"/>
  <c r="P29" i="25"/>
  <c r="P30" i="25"/>
  <c r="P31" i="25"/>
  <c r="P32" i="25"/>
  <c r="P33" i="25"/>
  <c r="P34" i="25"/>
  <c r="P35" i="25"/>
  <c r="P36" i="25"/>
  <c r="P37" i="25"/>
  <c r="N29" i="25"/>
  <c r="N30" i="25"/>
  <c r="N31" i="25"/>
  <c r="N32" i="25"/>
  <c r="N33" i="25"/>
  <c r="N34" i="25"/>
  <c r="N35" i="25"/>
  <c r="N36" i="25"/>
  <c r="N37" i="25"/>
  <c r="L29" i="25"/>
  <c r="L30" i="25"/>
  <c r="L31" i="25"/>
  <c r="L32" i="25"/>
  <c r="L33" i="25"/>
  <c r="L34" i="25"/>
  <c r="L35" i="25"/>
  <c r="L36" i="25"/>
  <c r="L37" i="25"/>
  <c r="I29" i="25"/>
  <c r="J29" i="25" s="1"/>
  <c r="I30" i="25"/>
  <c r="J30" i="25" s="1"/>
  <c r="I31" i="25"/>
  <c r="J31" i="25" s="1"/>
  <c r="I32" i="25"/>
  <c r="J32" i="25" s="1"/>
  <c r="I33" i="25"/>
  <c r="J33" i="25" s="1"/>
  <c r="I34" i="25"/>
  <c r="J34" i="25" s="1"/>
  <c r="I35" i="25"/>
  <c r="J35" i="25" s="1"/>
  <c r="I36" i="25"/>
  <c r="J36" i="25" s="1"/>
  <c r="I37" i="25"/>
  <c r="J37" i="25" s="1"/>
  <c r="H29" i="25"/>
  <c r="H30" i="25"/>
  <c r="H31" i="25"/>
  <c r="H32" i="25"/>
  <c r="H33" i="25"/>
  <c r="H34" i="25"/>
  <c r="H35" i="25"/>
  <c r="H36" i="25"/>
  <c r="H37" i="25"/>
  <c r="F29" i="25"/>
  <c r="F30" i="25"/>
  <c r="F31" i="25"/>
  <c r="F32" i="25"/>
  <c r="F33" i="25"/>
  <c r="F34" i="25"/>
  <c r="F35" i="25"/>
  <c r="F36" i="25"/>
  <c r="F37" i="25"/>
  <c r="D29" i="25"/>
  <c r="D30" i="25"/>
  <c r="D31" i="25"/>
  <c r="D32" i="25"/>
  <c r="D33" i="25"/>
  <c r="D34" i="25"/>
  <c r="D35" i="25"/>
  <c r="D36" i="25"/>
  <c r="D37" i="25"/>
  <c r="F38" i="25"/>
  <c r="D24" i="25"/>
  <c r="F24" i="25"/>
  <c r="H24" i="25"/>
  <c r="I24" i="25"/>
  <c r="J24" i="25" s="1"/>
  <c r="L24" i="25"/>
  <c r="N24" i="25"/>
  <c r="P24" i="25"/>
  <c r="Q24" i="25"/>
  <c r="R24" i="25" s="1"/>
  <c r="D25" i="25"/>
  <c r="F25" i="25"/>
  <c r="H25" i="25"/>
  <c r="I25" i="25"/>
  <c r="J25" i="25" s="1"/>
  <c r="L25" i="25"/>
  <c r="N25" i="25"/>
  <c r="P25" i="25"/>
  <c r="Q25" i="25"/>
  <c r="R25" i="25" s="1"/>
  <c r="D26" i="25"/>
  <c r="F26" i="25"/>
  <c r="H26" i="25"/>
  <c r="I26" i="25"/>
  <c r="J26" i="25" s="1"/>
  <c r="L26" i="25"/>
  <c r="N26" i="25"/>
  <c r="P26" i="25"/>
  <c r="Q26" i="25"/>
  <c r="R26" i="25" s="1"/>
  <c r="D27" i="25"/>
  <c r="F27" i="25"/>
  <c r="H27" i="25"/>
  <c r="I27" i="25"/>
  <c r="J27" i="25" s="1"/>
  <c r="L27" i="25"/>
  <c r="N27" i="25"/>
  <c r="P27" i="25"/>
  <c r="Q27" i="25"/>
  <c r="R27" i="25" s="1"/>
  <c r="D28" i="25"/>
  <c r="F28" i="25"/>
  <c r="H28" i="25"/>
  <c r="I28" i="25"/>
  <c r="J28" i="25" s="1"/>
  <c r="L28" i="25"/>
  <c r="N28" i="25"/>
  <c r="P28" i="25"/>
  <c r="Q28" i="25"/>
  <c r="R28" i="25" s="1"/>
  <c r="Q11" i="25"/>
  <c r="Q12" i="25"/>
  <c r="Q13" i="25"/>
  <c r="Q14" i="25"/>
  <c r="Q15" i="25"/>
  <c r="Q16" i="25"/>
  <c r="Q17" i="25"/>
  <c r="Q18" i="25"/>
  <c r="I11" i="25"/>
  <c r="I12" i="25"/>
  <c r="J13" i="25"/>
  <c r="I16" i="25"/>
  <c r="I17" i="25"/>
  <c r="I18" i="25"/>
  <c r="B19" i="25"/>
  <c r="R19" i="25" s="1"/>
  <c r="H18" i="25"/>
  <c r="H74" i="42" s="1"/>
  <c r="L18" i="25"/>
  <c r="J74" i="42" s="1"/>
  <c r="N18" i="25"/>
  <c r="L74" i="42" s="1"/>
  <c r="P18" i="25"/>
  <c r="N74" i="42" s="1"/>
  <c r="H17" i="25"/>
  <c r="H73" i="42" s="1"/>
  <c r="L17" i="25"/>
  <c r="J73" i="42" s="1"/>
  <c r="N17" i="25"/>
  <c r="L73" i="42" s="1"/>
  <c r="P17" i="25"/>
  <c r="N73" i="42" s="1"/>
  <c r="H16" i="25"/>
  <c r="H72" i="42" s="1"/>
  <c r="L16" i="25"/>
  <c r="J72" i="42" s="1"/>
  <c r="N16" i="25"/>
  <c r="L72" i="42" s="1"/>
  <c r="P16" i="25"/>
  <c r="N72" i="42" s="1"/>
  <c r="H15" i="25"/>
  <c r="H71" i="42" s="1"/>
  <c r="L15" i="25"/>
  <c r="J71" i="42" s="1"/>
  <c r="N15" i="25"/>
  <c r="L71" i="42" s="1"/>
  <c r="P15" i="25"/>
  <c r="N71" i="42" s="1"/>
  <c r="H14" i="25"/>
  <c r="H70" i="42" s="1"/>
  <c r="L14" i="25"/>
  <c r="J70" i="42" s="1"/>
  <c r="N14" i="25"/>
  <c r="L70" i="42" s="1"/>
  <c r="P14" i="25"/>
  <c r="N70" i="42" s="1"/>
  <c r="H13" i="25"/>
  <c r="H69" i="42" s="1"/>
  <c r="L13" i="25"/>
  <c r="J69" i="42" s="1"/>
  <c r="N13" i="25"/>
  <c r="L69" i="42" s="1"/>
  <c r="P13" i="25"/>
  <c r="N69" i="42" s="1"/>
  <c r="H12" i="25"/>
  <c r="H68" i="42" s="1"/>
  <c r="L12" i="25"/>
  <c r="J68" i="42" s="1"/>
  <c r="N12" i="25"/>
  <c r="L68" i="42" s="1"/>
  <c r="P12" i="25"/>
  <c r="N68" i="42" s="1"/>
  <c r="D11" i="25"/>
  <c r="D67" i="42" s="1"/>
  <c r="F11" i="25"/>
  <c r="F67" i="42" s="1"/>
  <c r="H11" i="25"/>
  <c r="H67" i="42" s="1"/>
  <c r="L11" i="25"/>
  <c r="J67" i="42" s="1"/>
  <c r="N11" i="25"/>
  <c r="L67" i="42" s="1"/>
  <c r="P11" i="25"/>
  <c r="N67" i="42" s="1"/>
  <c r="F8" i="25"/>
  <c r="F64" i="42" s="1"/>
  <c r="F9" i="25"/>
  <c r="F65" i="42" s="1"/>
  <c r="F10" i="25"/>
  <c r="F66" i="42" s="1"/>
  <c r="F12" i="25"/>
  <c r="F68" i="42" s="1"/>
  <c r="F13" i="25"/>
  <c r="F69" i="42" s="1"/>
  <c r="F14" i="25"/>
  <c r="F70" i="42" s="1"/>
  <c r="F15" i="25"/>
  <c r="F71" i="42" s="1"/>
  <c r="F16" i="25"/>
  <c r="F72" i="42" s="1"/>
  <c r="F17" i="25"/>
  <c r="F73" i="42" s="1"/>
  <c r="F18" i="25"/>
  <c r="F74" i="42" s="1"/>
  <c r="D8" i="25"/>
  <c r="D64" i="42" s="1"/>
  <c r="D9" i="25"/>
  <c r="D65" i="42" s="1"/>
  <c r="D10" i="25"/>
  <c r="D66" i="42" s="1"/>
  <c r="D12" i="25"/>
  <c r="D68" i="42" s="1"/>
  <c r="D13" i="25"/>
  <c r="D69" i="42" s="1"/>
  <c r="D14" i="25"/>
  <c r="D70" i="42" s="1"/>
  <c r="D15" i="25"/>
  <c r="D71" i="42" s="1"/>
  <c r="D16" i="25"/>
  <c r="D72" i="42" s="1"/>
  <c r="D17" i="25"/>
  <c r="D73" i="42" s="1"/>
  <c r="D18" i="25"/>
  <c r="D74" i="42" s="1"/>
  <c r="Q8" i="25"/>
  <c r="Q9" i="25"/>
  <c r="Q10" i="25"/>
  <c r="P8" i="25"/>
  <c r="N64" i="42" s="1"/>
  <c r="P9" i="25"/>
  <c r="N65" i="42" s="1"/>
  <c r="P10" i="25"/>
  <c r="N66" i="42" s="1"/>
  <c r="N8" i="25"/>
  <c r="L64" i="42" s="1"/>
  <c r="N9" i="25"/>
  <c r="L65" i="42" s="1"/>
  <c r="N10" i="25"/>
  <c r="L66" i="42" s="1"/>
  <c r="L8" i="25"/>
  <c r="J64" i="42" s="1"/>
  <c r="L9" i="25"/>
  <c r="J65" i="42" s="1"/>
  <c r="L10" i="25"/>
  <c r="J66" i="42" s="1"/>
  <c r="I8" i="25"/>
  <c r="I9" i="25"/>
  <c r="I10" i="25"/>
  <c r="H8" i="25"/>
  <c r="H64" i="42" s="1"/>
  <c r="H9" i="25"/>
  <c r="H65" i="42" s="1"/>
  <c r="H10" i="25"/>
  <c r="H66" i="42" s="1"/>
  <c r="B18" i="8"/>
  <c r="Q13" i="8"/>
  <c r="Q14" i="8"/>
  <c r="Q15" i="8"/>
  <c r="Q16" i="8"/>
  <c r="Q17" i="8"/>
  <c r="P13" i="8"/>
  <c r="N54" i="42" s="1"/>
  <c r="P14" i="8"/>
  <c r="N55" i="42" s="1"/>
  <c r="P15" i="8"/>
  <c r="N56" i="42" s="1"/>
  <c r="P16" i="8"/>
  <c r="N57" i="42" s="1"/>
  <c r="P17" i="8"/>
  <c r="N58" i="42" s="1"/>
  <c r="N13" i="8"/>
  <c r="L54" i="42" s="1"/>
  <c r="N14" i="8"/>
  <c r="L55" i="42" s="1"/>
  <c r="N15" i="8"/>
  <c r="L56" i="42" s="1"/>
  <c r="N16" i="8"/>
  <c r="L57" i="42" s="1"/>
  <c r="N17" i="8"/>
  <c r="L58" i="42" s="1"/>
  <c r="L13" i="8"/>
  <c r="J54" i="42" s="1"/>
  <c r="L14" i="8"/>
  <c r="J55" i="42" s="1"/>
  <c r="L15" i="8"/>
  <c r="J56" i="42" s="1"/>
  <c r="L16" i="8"/>
  <c r="J57" i="42" s="1"/>
  <c r="L17" i="8"/>
  <c r="J58" i="42" s="1"/>
  <c r="I13" i="8"/>
  <c r="I14" i="8"/>
  <c r="I15" i="8"/>
  <c r="I16" i="8"/>
  <c r="I17" i="8"/>
  <c r="H13" i="8"/>
  <c r="H54" i="42" s="1"/>
  <c r="H14" i="8"/>
  <c r="H55" i="42" s="1"/>
  <c r="H15" i="8"/>
  <c r="H56" i="42" s="1"/>
  <c r="H16" i="8"/>
  <c r="H57" i="42" s="1"/>
  <c r="H17" i="8"/>
  <c r="H58" i="42" s="1"/>
  <c r="F13" i="8"/>
  <c r="F54" i="42" s="1"/>
  <c r="F14" i="8"/>
  <c r="F55" i="42" s="1"/>
  <c r="F15" i="8"/>
  <c r="F56" i="42" s="1"/>
  <c r="F16" i="8"/>
  <c r="F57" i="42" s="1"/>
  <c r="F17" i="8"/>
  <c r="F58" i="42" s="1"/>
  <c r="D13" i="8"/>
  <c r="D54" i="42" s="1"/>
  <c r="D14" i="8"/>
  <c r="D55" i="42" s="1"/>
  <c r="D15" i="8"/>
  <c r="D56" i="42" s="1"/>
  <c r="D16" i="8"/>
  <c r="D57" i="42" s="1"/>
  <c r="D17" i="8"/>
  <c r="D58" i="42" s="1"/>
  <c r="B16" i="7"/>
  <c r="F15" i="7"/>
  <c r="F28" i="42" s="1"/>
  <c r="Q13" i="7"/>
  <c r="Q14" i="7"/>
  <c r="Q15" i="7"/>
  <c r="P13" i="7"/>
  <c r="N26" i="42" s="1"/>
  <c r="P14" i="7"/>
  <c r="N27" i="42" s="1"/>
  <c r="P15" i="7"/>
  <c r="N28" i="42" s="1"/>
  <c r="N13" i="7"/>
  <c r="L26" i="42" s="1"/>
  <c r="N14" i="7"/>
  <c r="L27" i="42" s="1"/>
  <c r="N15" i="7"/>
  <c r="L28" i="42" s="1"/>
  <c r="L13" i="7"/>
  <c r="J26" i="42" s="1"/>
  <c r="L14" i="7"/>
  <c r="J27" i="42" s="1"/>
  <c r="L15" i="7"/>
  <c r="J28" i="42" s="1"/>
  <c r="I13" i="7"/>
  <c r="I14" i="7"/>
  <c r="I15" i="7"/>
  <c r="H13" i="7"/>
  <c r="H26" i="42" s="1"/>
  <c r="H15" i="7"/>
  <c r="H28" i="42" s="1"/>
  <c r="F13" i="7"/>
  <c r="F26" i="42" s="1"/>
  <c r="D13" i="7"/>
  <c r="D26" i="42" s="1"/>
  <c r="D14" i="7"/>
  <c r="D27" i="42" s="1"/>
  <c r="D15" i="7"/>
  <c r="D28" i="42" s="1"/>
  <c r="B29" i="6"/>
  <c r="Q28" i="6"/>
  <c r="R28" i="6" s="1"/>
  <c r="P28" i="6"/>
  <c r="N28" i="6"/>
  <c r="L28" i="6"/>
  <c r="I28" i="6"/>
  <c r="J28" i="6" s="1"/>
  <c r="H28" i="6"/>
  <c r="F28" i="6"/>
  <c r="D28" i="6"/>
  <c r="Q26" i="5"/>
  <c r="R26" i="5" s="1"/>
  <c r="Q27" i="5"/>
  <c r="R27" i="5" s="1"/>
  <c r="Q28" i="5"/>
  <c r="R28" i="5" s="1"/>
  <c r="Q29" i="5"/>
  <c r="R29" i="5" s="1"/>
  <c r="Q30" i="5"/>
  <c r="R30" i="5" s="1"/>
  <c r="Q31" i="5"/>
  <c r="R31" i="5" s="1"/>
  <c r="Q32" i="5"/>
  <c r="R32" i="5" s="1"/>
  <c r="Q33" i="5"/>
  <c r="R33" i="5" s="1"/>
  <c r="I33" i="5"/>
  <c r="J33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Q11" i="5"/>
  <c r="Q12" i="5"/>
  <c r="Q13" i="5"/>
  <c r="Q14" i="5"/>
  <c r="Q15" i="5"/>
  <c r="Q16" i="5"/>
  <c r="Q17" i="5"/>
  <c r="B15" i="19"/>
  <c r="J15" i="19" s="1"/>
  <c r="B34" i="5"/>
  <c r="P33" i="5"/>
  <c r="N33" i="5"/>
  <c r="L33" i="5"/>
  <c r="H33" i="5"/>
  <c r="F33" i="5"/>
  <c r="D33" i="5"/>
  <c r="P32" i="5"/>
  <c r="N32" i="5"/>
  <c r="L32" i="5"/>
  <c r="H32" i="5"/>
  <c r="F32" i="5"/>
  <c r="D32" i="5"/>
  <c r="P31" i="5"/>
  <c r="N31" i="5"/>
  <c r="L31" i="5"/>
  <c r="H31" i="5"/>
  <c r="F31" i="5"/>
  <c r="D31" i="5"/>
  <c r="P30" i="5"/>
  <c r="N30" i="5"/>
  <c r="L30" i="5"/>
  <c r="H30" i="5"/>
  <c r="F30" i="5"/>
  <c r="D30" i="5"/>
  <c r="P29" i="5"/>
  <c r="N29" i="5"/>
  <c r="L29" i="5"/>
  <c r="H29" i="5"/>
  <c r="F29" i="5"/>
  <c r="D29" i="5"/>
  <c r="P28" i="5"/>
  <c r="N28" i="5"/>
  <c r="L28" i="5"/>
  <c r="H28" i="5"/>
  <c r="F28" i="5"/>
  <c r="D28" i="5"/>
  <c r="P27" i="5"/>
  <c r="N27" i="5"/>
  <c r="L27" i="5"/>
  <c r="H27" i="5"/>
  <c r="F27" i="5"/>
  <c r="D27" i="5"/>
  <c r="P26" i="5"/>
  <c r="N26" i="5"/>
  <c r="L26" i="5"/>
  <c r="H26" i="5"/>
  <c r="F26" i="5"/>
  <c r="D26" i="5"/>
  <c r="Q25" i="5"/>
  <c r="R25" i="5" s="1"/>
  <c r="P25" i="5"/>
  <c r="N25" i="5"/>
  <c r="L25" i="5"/>
  <c r="I25" i="5"/>
  <c r="J25" i="5" s="1"/>
  <c r="H25" i="5"/>
  <c r="F25" i="5"/>
  <c r="D25" i="5"/>
  <c r="Q24" i="5"/>
  <c r="R24" i="5" s="1"/>
  <c r="P24" i="5"/>
  <c r="N24" i="5"/>
  <c r="L24" i="5"/>
  <c r="I24" i="5"/>
  <c r="J24" i="5" s="1"/>
  <c r="H24" i="5"/>
  <c r="F24" i="5"/>
  <c r="D24" i="5"/>
  <c r="Q23" i="5"/>
  <c r="R23" i="5" s="1"/>
  <c r="P23" i="5"/>
  <c r="N23" i="5"/>
  <c r="L23" i="5"/>
  <c r="I23" i="5"/>
  <c r="J23" i="5" s="1"/>
  <c r="H23" i="5"/>
  <c r="F23" i="5"/>
  <c r="D23" i="5"/>
  <c r="B18" i="5"/>
  <c r="B133" i="42" s="1"/>
  <c r="D17" i="5"/>
  <c r="D132" i="42" s="1"/>
  <c r="F17" i="5"/>
  <c r="F132" i="42" s="1"/>
  <c r="H17" i="5"/>
  <c r="H132" i="42" s="1"/>
  <c r="L17" i="5"/>
  <c r="J132" i="42" s="1"/>
  <c r="N17" i="5"/>
  <c r="L132" i="42" s="1"/>
  <c r="P17" i="5"/>
  <c r="N132" i="42" s="1"/>
  <c r="D16" i="5"/>
  <c r="D131" i="42" s="1"/>
  <c r="F16" i="5"/>
  <c r="F131" i="42" s="1"/>
  <c r="H16" i="5"/>
  <c r="H131" i="42" s="1"/>
  <c r="L16" i="5"/>
  <c r="J131" i="42" s="1"/>
  <c r="N16" i="5"/>
  <c r="L131" i="42" s="1"/>
  <c r="P16" i="5"/>
  <c r="N131" i="42" s="1"/>
  <c r="D15" i="5"/>
  <c r="D130" i="42" s="1"/>
  <c r="F15" i="5"/>
  <c r="F130" i="42" s="1"/>
  <c r="H15" i="5"/>
  <c r="H130" i="42" s="1"/>
  <c r="L15" i="5"/>
  <c r="J130" i="42" s="1"/>
  <c r="N15" i="5"/>
  <c r="L130" i="42" s="1"/>
  <c r="P15" i="5"/>
  <c r="N130" i="42" s="1"/>
  <c r="D14" i="5"/>
  <c r="D129" i="42" s="1"/>
  <c r="F14" i="5"/>
  <c r="F129" i="42" s="1"/>
  <c r="H14" i="5"/>
  <c r="H129" i="42" s="1"/>
  <c r="L14" i="5"/>
  <c r="J129" i="42" s="1"/>
  <c r="N14" i="5"/>
  <c r="L129" i="42" s="1"/>
  <c r="P14" i="5"/>
  <c r="N129" i="42" s="1"/>
  <c r="D13" i="5"/>
  <c r="D128" i="42" s="1"/>
  <c r="F13" i="5"/>
  <c r="F128" i="42" s="1"/>
  <c r="H13" i="5"/>
  <c r="H128" i="42" s="1"/>
  <c r="L13" i="5"/>
  <c r="J128" i="42" s="1"/>
  <c r="N13" i="5"/>
  <c r="L128" i="42" s="1"/>
  <c r="P13" i="5"/>
  <c r="N128" i="42" s="1"/>
  <c r="D12" i="5"/>
  <c r="D127" i="42" s="1"/>
  <c r="F12" i="5"/>
  <c r="F127" i="42" s="1"/>
  <c r="H12" i="5"/>
  <c r="H127" i="42" s="1"/>
  <c r="L12" i="5"/>
  <c r="J127" i="42" s="1"/>
  <c r="N12" i="5"/>
  <c r="L127" i="42" s="1"/>
  <c r="P12" i="5"/>
  <c r="N127" i="42" s="1"/>
  <c r="D11" i="5"/>
  <c r="D126" i="42" s="1"/>
  <c r="F11" i="5"/>
  <c r="F126" i="42" s="1"/>
  <c r="H11" i="5"/>
  <c r="H126" i="42" s="1"/>
  <c r="L11" i="5"/>
  <c r="J126" i="42" s="1"/>
  <c r="N11" i="5"/>
  <c r="L126" i="42" s="1"/>
  <c r="P11" i="5"/>
  <c r="N126" i="42" s="1"/>
  <c r="Q14" i="4"/>
  <c r="P14" i="4"/>
  <c r="N117" i="42" s="1"/>
  <c r="N14" i="4"/>
  <c r="L117" i="42" s="1"/>
  <c r="L14" i="4"/>
  <c r="J117" i="42" s="1"/>
  <c r="I14" i="4"/>
  <c r="H14" i="4"/>
  <c r="H117" i="42" s="1"/>
  <c r="F14" i="4"/>
  <c r="F117" i="42" s="1"/>
  <c r="Q13" i="4"/>
  <c r="P13" i="4"/>
  <c r="N116" i="42" s="1"/>
  <c r="N13" i="4"/>
  <c r="L116" i="42" s="1"/>
  <c r="L13" i="4"/>
  <c r="J116" i="42" s="1"/>
  <c r="I13" i="4"/>
  <c r="H13" i="4"/>
  <c r="H116" i="42" s="1"/>
  <c r="F13" i="4"/>
  <c r="F116" i="42" s="1"/>
  <c r="D13" i="4"/>
  <c r="D116" i="42" s="1"/>
  <c r="N38" i="25" l="1"/>
  <c r="R18" i="41"/>
  <c r="J9" i="25"/>
  <c r="P38" i="25"/>
  <c r="J14" i="4"/>
  <c r="R14" i="4"/>
  <c r="R17" i="5"/>
  <c r="R15" i="5"/>
  <c r="R13" i="5"/>
  <c r="R11" i="5"/>
  <c r="J15" i="7"/>
  <c r="J13" i="7"/>
  <c r="R15" i="7"/>
  <c r="R13" i="7"/>
  <c r="B29" i="42"/>
  <c r="N16" i="7"/>
  <c r="L29" i="42" s="1"/>
  <c r="L16" i="7"/>
  <c r="J29" i="42" s="1"/>
  <c r="H16" i="7"/>
  <c r="H29" i="42" s="1"/>
  <c r="D16" i="7"/>
  <c r="D29" i="42" s="1"/>
  <c r="F16" i="7"/>
  <c r="F29" i="42" s="1"/>
  <c r="J16" i="8"/>
  <c r="J14" i="8"/>
  <c r="R16" i="8"/>
  <c r="R14" i="8"/>
  <c r="B59" i="42"/>
  <c r="P18" i="8"/>
  <c r="N59" i="42" s="1"/>
  <c r="N18" i="8"/>
  <c r="L59" i="42" s="1"/>
  <c r="L18" i="8"/>
  <c r="J59" i="42" s="1"/>
  <c r="H18" i="8"/>
  <c r="H59" i="42" s="1"/>
  <c r="F18" i="8"/>
  <c r="F59" i="42" s="1"/>
  <c r="D18" i="8"/>
  <c r="D59" i="42" s="1"/>
  <c r="J10" i="25"/>
  <c r="J8" i="25"/>
  <c r="R10" i="25"/>
  <c r="R8" i="25"/>
  <c r="J18" i="25"/>
  <c r="J16" i="25"/>
  <c r="J12" i="25"/>
  <c r="R18" i="25"/>
  <c r="R16" i="25"/>
  <c r="R14" i="25"/>
  <c r="R12" i="25"/>
  <c r="N12" i="9"/>
  <c r="L149" i="42" s="1"/>
  <c r="K149" i="42"/>
  <c r="H12" i="9"/>
  <c r="H149" i="42" s="1"/>
  <c r="G149" i="42"/>
  <c r="J15" i="25"/>
  <c r="J16" i="5"/>
  <c r="J14" i="5"/>
  <c r="J12" i="5"/>
  <c r="J19" i="25"/>
  <c r="J18" i="8"/>
  <c r="J16" i="7"/>
  <c r="J13" i="4"/>
  <c r="R13" i="4"/>
  <c r="B16" i="42"/>
  <c r="F15" i="19"/>
  <c r="F16" i="42" s="1"/>
  <c r="L15" i="19"/>
  <c r="J16" i="42" s="1"/>
  <c r="P15" i="19"/>
  <c r="N16" i="42" s="1"/>
  <c r="D15" i="19"/>
  <c r="D16" i="42" s="1"/>
  <c r="H15" i="19"/>
  <c r="H16" i="42" s="1"/>
  <c r="N15" i="19"/>
  <c r="L16" i="42" s="1"/>
  <c r="R16" i="5"/>
  <c r="R14" i="5"/>
  <c r="R12" i="5"/>
  <c r="J14" i="7"/>
  <c r="R14" i="7"/>
  <c r="J17" i="8"/>
  <c r="J15" i="8"/>
  <c r="J13" i="8"/>
  <c r="R17" i="8"/>
  <c r="R15" i="8"/>
  <c r="R13" i="8"/>
  <c r="R9" i="25"/>
  <c r="B75" i="42"/>
  <c r="D19" i="25"/>
  <c r="D75" i="42" s="1"/>
  <c r="H19" i="25"/>
  <c r="H75" i="42" s="1"/>
  <c r="N19" i="25"/>
  <c r="L75" i="42" s="1"/>
  <c r="F19" i="25"/>
  <c r="F75" i="42" s="1"/>
  <c r="L19" i="25"/>
  <c r="J75" i="42" s="1"/>
  <c r="P19" i="25"/>
  <c r="N75" i="42" s="1"/>
  <c r="J17" i="25"/>
  <c r="J11" i="25"/>
  <c r="R17" i="25"/>
  <c r="R15" i="25"/>
  <c r="R13" i="25"/>
  <c r="R11" i="25"/>
  <c r="B118" i="42"/>
  <c r="D15" i="4"/>
  <c r="D118" i="42" s="1"/>
  <c r="P12" i="9"/>
  <c r="N149" i="42" s="1"/>
  <c r="M149" i="42"/>
  <c r="L12" i="9"/>
  <c r="J149" i="42" s="1"/>
  <c r="I149" i="42"/>
  <c r="D12" i="9"/>
  <c r="D149" i="42" s="1"/>
  <c r="C149" i="42"/>
  <c r="R7" i="9"/>
  <c r="J7" i="9"/>
  <c r="J34" i="6"/>
  <c r="R34" i="6"/>
  <c r="J14" i="25"/>
  <c r="J17" i="5"/>
  <c r="J15" i="5"/>
  <c r="J13" i="5"/>
  <c r="J11" i="5"/>
  <c r="F12" i="9"/>
  <c r="F149" i="42" s="1"/>
  <c r="E17" i="34"/>
  <c r="R7" i="39"/>
  <c r="J8" i="39"/>
  <c r="R8" i="39"/>
  <c r="J9" i="39"/>
  <c r="R9" i="39"/>
  <c r="J10" i="39"/>
  <c r="R10" i="39"/>
  <c r="J11" i="39"/>
  <c r="R11" i="39"/>
  <c r="J12" i="39"/>
  <c r="R12" i="39"/>
  <c r="J13" i="39"/>
  <c r="R13" i="39"/>
  <c r="J14" i="39"/>
  <c r="R14" i="39"/>
  <c r="J7" i="39"/>
  <c r="Q20" i="39"/>
  <c r="P20" i="39"/>
  <c r="N166" i="42" s="1"/>
  <c r="Q12" i="9"/>
  <c r="I12" i="9"/>
  <c r="I9" i="34"/>
  <c r="D39" i="4"/>
  <c r="H39" i="4"/>
  <c r="N39" i="4"/>
  <c r="F39" i="4"/>
  <c r="Q39" i="4"/>
  <c r="L39" i="4"/>
  <c r="P39" i="4"/>
  <c r="J33" i="6"/>
  <c r="R33" i="6"/>
  <c r="I39" i="4"/>
  <c r="J39" i="4" s="1"/>
  <c r="I21" i="9"/>
  <c r="J21" i="9" s="1"/>
  <c r="Q15" i="39"/>
  <c r="Q35" i="6"/>
  <c r="Q41" i="5"/>
  <c r="R41" i="5" s="1"/>
  <c r="O17" i="34"/>
  <c r="I14" i="34"/>
  <c r="K17" i="34"/>
  <c r="E26" i="34"/>
  <c r="C38" i="34"/>
  <c r="E38" i="34" s="1"/>
  <c r="G6" i="34"/>
  <c r="Q6" i="34" s="1"/>
  <c r="G8" i="34"/>
  <c r="Q8" i="34" s="1"/>
  <c r="G5" i="34"/>
  <c r="Q5" i="34" s="1"/>
  <c r="I12" i="34"/>
  <c r="R31" i="4"/>
  <c r="P31" i="4"/>
  <c r="N31" i="4"/>
  <c r="L31" i="4"/>
  <c r="J31" i="4"/>
  <c r="H31" i="4"/>
  <c r="F31" i="4"/>
  <c r="D31" i="4"/>
  <c r="Q31" i="4"/>
  <c r="I31" i="4"/>
  <c r="Q15" i="34"/>
  <c r="I15" i="34"/>
  <c r="R14" i="3"/>
  <c r="P14" i="3"/>
  <c r="L14" i="3"/>
  <c r="I14" i="3"/>
  <c r="F14" i="3"/>
  <c r="Q13" i="34"/>
  <c r="I13" i="34"/>
  <c r="Q34" i="5"/>
  <c r="R34" i="5" s="1"/>
  <c r="Q38" i="25"/>
  <c r="R38" i="25" s="1"/>
  <c r="Q14" i="3"/>
  <c r="N14" i="3"/>
  <c r="J14" i="3"/>
  <c r="H14" i="3"/>
  <c r="D14" i="3"/>
  <c r="Q11" i="34"/>
  <c r="I11" i="34"/>
  <c r="G10" i="34"/>
  <c r="G7" i="34"/>
  <c r="N22" i="5"/>
  <c r="N38" i="5" s="1"/>
  <c r="D22" i="5"/>
  <c r="D38" i="5" s="1"/>
  <c r="F41" i="5"/>
  <c r="P41" i="5"/>
  <c r="R22" i="5"/>
  <c r="R38" i="5" s="1"/>
  <c r="I22" i="5"/>
  <c r="I38" i="5" s="1"/>
  <c r="F22" i="5"/>
  <c r="F38" i="5" s="1"/>
  <c r="I41" i="5"/>
  <c r="J41" i="5" s="1"/>
  <c r="H41" i="5"/>
  <c r="N41" i="5"/>
  <c r="D41" i="5"/>
  <c r="L41" i="5"/>
  <c r="M31" i="4"/>
  <c r="M14" i="3"/>
  <c r="G31" i="4"/>
  <c r="G14" i="3"/>
  <c r="C31" i="4"/>
  <c r="C14" i="3"/>
  <c r="I35" i="6"/>
  <c r="F35" i="6"/>
  <c r="F106" i="42" s="1"/>
  <c r="P35" i="6"/>
  <c r="N106" i="42" s="1"/>
  <c r="H35" i="6"/>
  <c r="H106" i="42" s="1"/>
  <c r="N35" i="6"/>
  <c r="L106" i="42" s="1"/>
  <c r="D35" i="6"/>
  <c r="D106" i="42" s="1"/>
  <c r="L35" i="6"/>
  <c r="J106" i="42" s="1"/>
  <c r="D19" i="39"/>
  <c r="D165" i="42" s="1"/>
  <c r="H19" i="39"/>
  <c r="H165" i="42" s="1"/>
  <c r="J19" i="39"/>
  <c r="R19" i="39"/>
  <c r="I20" i="39"/>
  <c r="I15" i="39"/>
  <c r="F15" i="39"/>
  <c r="F161" i="42" s="1"/>
  <c r="P15" i="39"/>
  <c r="N161" i="42" s="1"/>
  <c r="H15" i="39"/>
  <c r="H161" i="42" s="1"/>
  <c r="N15" i="39"/>
  <c r="L161" i="42" s="1"/>
  <c r="D15" i="39"/>
  <c r="D161" i="42" s="1"/>
  <c r="L15" i="39"/>
  <c r="J161" i="42" s="1"/>
  <c r="Q21" i="9"/>
  <c r="R21" i="9" s="1"/>
  <c r="D21" i="9"/>
  <c r="F21" i="9"/>
  <c r="H21" i="9"/>
  <c r="L21" i="9"/>
  <c r="N21" i="9"/>
  <c r="R39" i="4"/>
  <c r="I38" i="25"/>
  <c r="J38" i="25" s="1"/>
  <c r="D38" i="25"/>
  <c r="L38" i="25"/>
  <c r="I34" i="5"/>
  <c r="J34" i="5" s="1"/>
  <c r="F34" i="5"/>
  <c r="P34" i="5"/>
  <c r="H34" i="5"/>
  <c r="N34" i="5"/>
  <c r="D34" i="5"/>
  <c r="L34" i="5"/>
  <c r="F15" i="4"/>
  <c r="F118" i="42" s="1"/>
  <c r="H15" i="4"/>
  <c r="H118" i="42" s="1"/>
  <c r="N15" i="4"/>
  <c r="L118" i="42" s="1"/>
  <c r="P15" i="4"/>
  <c r="N118" i="42" s="1"/>
  <c r="I8" i="34" l="1"/>
  <c r="I6" i="34"/>
  <c r="J12" i="9"/>
  <c r="J35" i="6"/>
  <c r="R35" i="6"/>
  <c r="R12" i="9"/>
  <c r="R15" i="39"/>
  <c r="J15" i="39"/>
  <c r="J22" i="5"/>
  <c r="J38" i="5" s="1"/>
  <c r="Q22" i="5"/>
  <c r="Q38" i="5" s="1"/>
  <c r="Q7" i="34"/>
  <c r="G17" i="34"/>
  <c r="I5" i="34"/>
  <c r="P22" i="5"/>
  <c r="P38" i="5" s="1"/>
  <c r="L22" i="5"/>
  <c r="L38" i="5" s="1"/>
  <c r="H22" i="5"/>
  <c r="H38" i="5" s="1"/>
  <c r="I7" i="34"/>
  <c r="I10" i="34"/>
  <c r="Q10" i="34"/>
  <c r="O31" i="4"/>
  <c r="M22" i="5"/>
  <c r="M38" i="5" s="1"/>
  <c r="K31" i="4"/>
  <c r="G22" i="5"/>
  <c r="G38" i="5" s="1"/>
  <c r="E31" i="4"/>
  <c r="C22" i="5"/>
  <c r="C38" i="5" s="1"/>
  <c r="Q6" i="9"/>
  <c r="Q15" i="9" s="1"/>
  <c r="Q23" i="25"/>
  <c r="O6" i="9"/>
  <c r="O15" i="9" s="1"/>
  <c r="O23" i="25"/>
  <c r="M6" i="9"/>
  <c r="M15" i="9" s="1"/>
  <c r="M23" i="25"/>
  <c r="K6" i="9"/>
  <c r="K15" i="9" s="1"/>
  <c r="K23" i="25"/>
  <c r="I6" i="9"/>
  <c r="I15" i="9" s="1"/>
  <c r="I23" i="25"/>
  <c r="G6" i="9"/>
  <c r="G15" i="9" s="1"/>
  <c r="G23" i="25"/>
  <c r="E6" i="9"/>
  <c r="E15" i="9" s="1"/>
  <c r="E23" i="25"/>
  <c r="C6" i="9"/>
  <c r="C15" i="9" s="1"/>
  <c r="C23" i="25"/>
  <c r="R23" i="25"/>
  <c r="R6" i="9"/>
  <c r="R15" i="9" s="1"/>
  <c r="P23" i="25"/>
  <c r="P6" i="9"/>
  <c r="P15" i="9" s="1"/>
  <c r="N23" i="25"/>
  <c r="N6" i="9"/>
  <c r="N15" i="9" s="1"/>
  <c r="L23" i="25"/>
  <c r="L6" i="9"/>
  <c r="L15" i="9" s="1"/>
  <c r="J23" i="25"/>
  <c r="J6" i="9"/>
  <c r="J15" i="9" s="1"/>
  <c r="H23" i="25"/>
  <c r="H6" i="9"/>
  <c r="H15" i="9" s="1"/>
  <c r="F23" i="25"/>
  <c r="F6" i="9"/>
  <c r="F15" i="9" s="1"/>
  <c r="D23" i="25"/>
  <c r="D6" i="9"/>
  <c r="D15" i="9" s="1"/>
  <c r="R15" i="4"/>
  <c r="L15" i="4"/>
  <c r="J118" i="42" s="1"/>
  <c r="Q6" i="25"/>
  <c r="Q7" i="8"/>
  <c r="O6" i="25"/>
  <c r="O7" i="8"/>
  <c r="M6" i="25"/>
  <c r="M7" i="8"/>
  <c r="K6" i="25"/>
  <c r="K7" i="8"/>
  <c r="I6" i="25"/>
  <c r="I7" i="8"/>
  <c r="G6" i="25"/>
  <c r="G7" i="8"/>
  <c r="E6" i="25"/>
  <c r="E7" i="8"/>
  <c r="C6" i="25"/>
  <c r="C7" i="8"/>
  <c r="R6" i="6"/>
  <c r="P6" i="6"/>
  <c r="N6" i="6"/>
  <c r="L6" i="6"/>
  <c r="J6" i="6"/>
  <c r="H6" i="6"/>
  <c r="F6" i="6"/>
  <c r="D6" i="6"/>
  <c r="R17" i="6"/>
  <c r="R32" i="6" s="1"/>
  <c r="R38" i="6" s="1"/>
  <c r="P17" i="6"/>
  <c r="P32" i="6" s="1"/>
  <c r="P38" i="6" s="1"/>
  <c r="N17" i="6"/>
  <c r="N32" i="6" s="1"/>
  <c r="N38" i="6" s="1"/>
  <c r="L17" i="6"/>
  <c r="L32" i="6" s="1"/>
  <c r="L38" i="6" s="1"/>
  <c r="J17" i="6"/>
  <c r="J32" i="6" s="1"/>
  <c r="J38" i="6" s="1"/>
  <c r="H17" i="6"/>
  <c r="H32" i="6" s="1"/>
  <c r="H38" i="6" s="1"/>
  <c r="F17" i="6"/>
  <c r="F32" i="6" s="1"/>
  <c r="F38" i="6" s="1"/>
  <c r="D17" i="6"/>
  <c r="D32" i="6" s="1"/>
  <c r="D38" i="6" s="1"/>
  <c r="R6" i="7"/>
  <c r="P6" i="7"/>
  <c r="N6" i="7"/>
  <c r="L6" i="7"/>
  <c r="J6" i="7"/>
  <c r="H6" i="7"/>
  <c r="F6" i="7"/>
  <c r="D6" i="7"/>
  <c r="R7" i="8"/>
  <c r="N7" i="8"/>
  <c r="J7" i="8"/>
  <c r="F7" i="8"/>
  <c r="R6" i="25"/>
  <c r="N6" i="25"/>
  <c r="J6" i="25"/>
  <c r="F6" i="25"/>
  <c r="Q6" i="6"/>
  <c r="O6" i="6"/>
  <c r="M6" i="6"/>
  <c r="K6" i="6"/>
  <c r="I6" i="6"/>
  <c r="G6" i="6"/>
  <c r="E6" i="6"/>
  <c r="C6" i="6"/>
  <c r="Q17" i="6"/>
  <c r="Q32" i="6" s="1"/>
  <c r="Q38" i="6" s="1"/>
  <c r="O17" i="6"/>
  <c r="O32" i="6" s="1"/>
  <c r="O38" i="6" s="1"/>
  <c r="M17" i="6"/>
  <c r="M32" i="6" s="1"/>
  <c r="M38" i="6" s="1"/>
  <c r="K17" i="6"/>
  <c r="K32" i="6" s="1"/>
  <c r="K38" i="6" s="1"/>
  <c r="I17" i="6"/>
  <c r="I32" i="6" s="1"/>
  <c r="I38" i="6" s="1"/>
  <c r="G17" i="6"/>
  <c r="G32" i="6" s="1"/>
  <c r="G38" i="6" s="1"/>
  <c r="E17" i="6"/>
  <c r="E32" i="6" s="1"/>
  <c r="E38" i="6" s="1"/>
  <c r="C17" i="6"/>
  <c r="C32" i="6" s="1"/>
  <c r="C38" i="6" s="1"/>
  <c r="Q6" i="7"/>
  <c r="O6" i="7"/>
  <c r="M6" i="7"/>
  <c r="K6" i="7"/>
  <c r="I6" i="7"/>
  <c r="G6" i="7"/>
  <c r="E6" i="7"/>
  <c r="C6" i="7"/>
  <c r="P7" i="8"/>
  <c r="L7" i="8"/>
  <c r="H7" i="8"/>
  <c r="D7" i="8"/>
  <c r="P6" i="25"/>
  <c r="L6" i="25"/>
  <c r="H6" i="25"/>
  <c r="D6" i="25"/>
  <c r="O22" i="5" l="1"/>
  <c r="O38" i="5" s="1"/>
  <c r="K22" i="5"/>
  <c r="K38" i="5" s="1"/>
  <c r="E22" i="5"/>
  <c r="E38" i="5" s="1"/>
  <c r="Q7" i="2"/>
  <c r="I7" i="2"/>
  <c r="Q24" i="6"/>
  <c r="R24" i="6" s="1"/>
  <c r="P24" i="6"/>
  <c r="N24" i="6"/>
  <c r="L24" i="6"/>
  <c r="I24" i="6"/>
  <c r="J24" i="6" s="1"/>
  <c r="H24" i="6"/>
  <c r="F24" i="6"/>
  <c r="D24" i="6"/>
  <c r="Q23" i="6"/>
  <c r="R23" i="6" s="1"/>
  <c r="P23" i="6"/>
  <c r="N23" i="6"/>
  <c r="L23" i="6"/>
  <c r="I23" i="6"/>
  <c r="J23" i="6" s="1"/>
  <c r="H23" i="6"/>
  <c r="F23" i="6"/>
  <c r="D23" i="6"/>
  <c r="P25" i="4"/>
  <c r="P26" i="4"/>
  <c r="N25" i="4"/>
  <c r="N26" i="4"/>
  <c r="L25" i="4"/>
  <c r="L26" i="4"/>
  <c r="D25" i="4"/>
  <c r="D26" i="4"/>
  <c r="H25" i="4"/>
  <c r="H26" i="4"/>
  <c r="F26" i="4"/>
  <c r="I26" i="4"/>
  <c r="Q26" i="4"/>
  <c r="J7" i="2" l="1"/>
  <c r="R26" i="4"/>
  <c r="J26" i="4"/>
  <c r="Q7" i="19" l="1"/>
  <c r="Q8" i="19"/>
  <c r="Q9" i="19"/>
  <c r="Q10" i="19"/>
  <c r="Q11" i="19"/>
  <c r="Q12" i="19"/>
  <c r="Q13" i="19"/>
  <c r="Q14" i="19"/>
  <c r="Q7" i="25"/>
  <c r="P7" i="25"/>
  <c r="N63" i="42" s="1"/>
  <c r="N7" i="25"/>
  <c r="L63" i="42" s="1"/>
  <c r="R7" i="25" l="1"/>
  <c r="R13" i="19"/>
  <c r="R11" i="19"/>
  <c r="R9" i="19"/>
  <c r="R7" i="19"/>
  <c r="R14" i="19"/>
  <c r="R12" i="19"/>
  <c r="R10" i="19"/>
  <c r="R8" i="19"/>
  <c r="Q12" i="8"/>
  <c r="P12" i="8"/>
  <c r="N53" i="42" s="1"/>
  <c r="N12" i="8"/>
  <c r="L53" i="42" s="1"/>
  <c r="Q11" i="8"/>
  <c r="P11" i="8"/>
  <c r="N52" i="42" s="1"/>
  <c r="N11" i="8"/>
  <c r="L52" i="42" s="1"/>
  <c r="Q10" i="8"/>
  <c r="P10" i="8"/>
  <c r="N51" i="42" s="1"/>
  <c r="N10" i="8"/>
  <c r="L51" i="42" s="1"/>
  <c r="Q9" i="8"/>
  <c r="P9" i="8"/>
  <c r="N50" i="42" s="1"/>
  <c r="N9" i="8"/>
  <c r="L50" i="42" s="1"/>
  <c r="Q8" i="8"/>
  <c r="P8" i="8"/>
  <c r="N49" i="42" s="1"/>
  <c r="N8" i="8"/>
  <c r="L49" i="42" s="1"/>
  <c r="Q12" i="7"/>
  <c r="P12" i="7"/>
  <c r="N25" i="42" s="1"/>
  <c r="N12" i="7"/>
  <c r="L25" i="42" s="1"/>
  <c r="Q11" i="7"/>
  <c r="P11" i="7"/>
  <c r="N24" i="42" s="1"/>
  <c r="N11" i="7"/>
  <c r="L24" i="42" s="1"/>
  <c r="Q10" i="7"/>
  <c r="P10" i="7"/>
  <c r="N23" i="42" s="1"/>
  <c r="N10" i="7"/>
  <c r="L23" i="42" s="1"/>
  <c r="Q9" i="7"/>
  <c r="P9" i="7"/>
  <c r="N22" i="42" s="1"/>
  <c r="N9" i="7"/>
  <c r="L22" i="42" s="1"/>
  <c r="Q8" i="7"/>
  <c r="P8" i="7"/>
  <c r="N21" i="42" s="1"/>
  <c r="N8" i="7"/>
  <c r="L21" i="42" s="1"/>
  <c r="Q7" i="7"/>
  <c r="P7" i="7"/>
  <c r="N20" i="42" s="1"/>
  <c r="N7" i="7"/>
  <c r="L20" i="42" s="1"/>
  <c r="Q27" i="6"/>
  <c r="R27" i="6" s="1"/>
  <c r="P27" i="6"/>
  <c r="N27" i="6"/>
  <c r="Q26" i="6"/>
  <c r="R26" i="6" s="1"/>
  <c r="P26" i="6"/>
  <c r="N26" i="6"/>
  <c r="Q25" i="6"/>
  <c r="R25" i="6" s="1"/>
  <c r="P25" i="6"/>
  <c r="N25" i="6"/>
  <c r="Q22" i="6"/>
  <c r="R22" i="6" s="1"/>
  <c r="P22" i="6"/>
  <c r="N22" i="6"/>
  <c r="Q21" i="6"/>
  <c r="R21" i="6" s="1"/>
  <c r="P21" i="6"/>
  <c r="N21" i="6"/>
  <c r="Q20" i="6"/>
  <c r="R20" i="6" s="1"/>
  <c r="P20" i="6"/>
  <c r="N20" i="6"/>
  <c r="Q19" i="6"/>
  <c r="R19" i="6" s="1"/>
  <c r="P19" i="6"/>
  <c r="N19" i="6"/>
  <c r="Q18" i="6"/>
  <c r="R18" i="6" s="1"/>
  <c r="P18" i="6"/>
  <c r="N18" i="6"/>
  <c r="Q12" i="6"/>
  <c r="P12" i="6"/>
  <c r="N99" i="42" s="1"/>
  <c r="N12" i="6"/>
  <c r="L99" i="42" s="1"/>
  <c r="Q11" i="6"/>
  <c r="P11" i="6"/>
  <c r="N98" i="42" s="1"/>
  <c r="N11" i="6"/>
  <c r="L98" i="42" s="1"/>
  <c r="Q10" i="6"/>
  <c r="P10" i="6"/>
  <c r="N97" i="42" s="1"/>
  <c r="N10" i="6"/>
  <c r="L97" i="42" s="1"/>
  <c r="Q9" i="6"/>
  <c r="P9" i="6"/>
  <c r="N96" i="42" s="1"/>
  <c r="N9" i="6"/>
  <c r="L96" i="42" s="1"/>
  <c r="Q8" i="6"/>
  <c r="P8" i="6"/>
  <c r="N95" i="42" s="1"/>
  <c r="N8" i="6"/>
  <c r="L95" i="42" s="1"/>
  <c r="Q7" i="6"/>
  <c r="P7" i="6"/>
  <c r="N94" i="42" s="1"/>
  <c r="N7" i="6"/>
  <c r="L94" i="42" s="1"/>
  <c r="N7" i="5"/>
  <c r="L122" i="42" s="1"/>
  <c r="Q10" i="5"/>
  <c r="P10" i="5"/>
  <c r="N125" i="42" s="1"/>
  <c r="N10" i="5"/>
  <c r="L125" i="42" s="1"/>
  <c r="Q9" i="5"/>
  <c r="P9" i="5"/>
  <c r="N124" i="42" s="1"/>
  <c r="N9" i="5"/>
  <c r="L124" i="42" s="1"/>
  <c r="Q8" i="5"/>
  <c r="P8" i="5"/>
  <c r="N123" i="42" s="1"/>
  <c r="N8" i="5"/>
  <c r="L123" i="42" s="1"/>
  <c r="Q7" i="5"/>
  <c r="P7" i="5"/>
  <c r="N122" i="42" s="1"/>
  <c r="P7" i="4"/>
  <c r="N110" i="42" s="1"/>
  <c r="Q27" i="4"/>
  <c r="R27" i="4" s="1"/>
  <c r="P27" i="4"/>
  <c r="N27" i="4"/>
  <c r="Q25" i="4"/>
  <c r="R25" i="4" s="1"/>
  <c r="Q24" i="4"/>
  <c r="R24" i="4" s="1"/>
  <c r="P24" i="4"/>
  <c r="N24" i="4"/>
  <c r="Q23" i="4"/>
  <c r="R23" i="4" s="1"/>
  <c r="P23" i="4"/>
  <c r="N23" i="4"/>
  <c r="Q22" i="4"/>
  <c r="R22" i="4" s="1"/>
  <c r="P22" i="4"/>
  <c r="N22" i="4"/>
  <c r="Q21" i="4"/>
  <c r="P21" i="4"/>
  <c r="N21" i="4"/>
  <c r="Q20" i="4"/>
  <c r="R20" i="4" s="1"/>
  <c r="P20" i="4"/>
  <c r="N20" i="4"/>
  <c r="Q19" i="4"/>
  <c r="R19" i="4" s="1"/>
  <c r="P19" i="4"/>
  <c r="N19" i="4"/>
  <c r="L19" i="4"/>
  <c r="N8" i="4"/>
  <c r="L111" i="42" s="1"/>
  <c r="N7" i="4"/>
  <c r="L110" i="42" s="1"/>
  <c r="Q12" i="4"/>
  <c r="P12" i="4"/>
  <c r="N115" i="42" s="1"/>
  <c r="N12" i="4"/>
  <c r="L115" i="42" s="1"/>
  <c r="Q11" i="4"/>
  <c r="P11" i="4"/>
  <c r="N114" i="42" s="1"/>
  <c r="N11" i="4"/>
  <c r="L114" i="42" s="1"/>
  <c r="Q10" i="4"/>
  <c r="P10" i="4"/>
  <c r="N113" i="42" s="1"/>
  <c r="N10" i="4"/>
  <c r="L113" i="42" s="1"/>
  <c r="Q9" i="4"/>
  <c r="P9" i="4"/>
  <c r="N112" i="42" s="1"/>
  <c r="N9" i="4"/>
  <c r="L112" i="42" s="1"/>
  <c r="Q8" i="4"/>
  <c r="P8" i="4"/>
  <c r="N111" i="42" s="1"/>
  <c r="Q7" i="4"/>
  <c r="Y8" i="27"/>
  <c r="U10" i="27"/>
  <c r="S11" i="27"/>
  <c r="S7" i="27"/>
  <c r="Q12" i="27"/>
  <c r="Q9" i="27"/>
  <c r="Q5" i="27"/>
  <c r="O10" i="27"/>
  <c r="O6" i="27"/>
  <c r="M8" i="27"/>
  <c r="Q15" i="3"/>
  <c r="R15" i="3" s="1"/>
  <c r="P16" i="3"/>
  <c r="P15" i="3"/>
  <c r="O18" i="3"/>
  <c r="M18" i="3"/>
  <c r="Q17" i="3"/>
  <c r="R17" i="3" s="1"/>
  <c r="P17" i="3"/>
  <c r="N17" i="3"/>
  <c r="Q16" i="3"/>
  <c r="R16" i="3" s="1"/>
  <c r="N16" i="3"/>
  <c r="N15" i="3"/>
  <c r="Q7" i="3"/>
  <c r="Q9" i="3"/>
  <c r="P9" i="3"/>
  <c r="N44" i="42" s="1"/>
  <c r="N9" i="3"/>
  <c r="L44" i="42" s="1"/>
  <c r="Q8" i="3"/>
  <c r="P8" i="3"/>
  <c r="N43" i="42" s="1"/>
  <c r="N8" i="3"/>
  <c r="L43" i="42" s="1"/>
  <c r="P7" i="3"/>
  <c r="N42" i="42" s="1"/>
  <c r="N7" i="3"/>
  <c r="L42" i="42" s="1"/>
  <c r="Q11" i="2"/>
  <c r="P11" i="2"/>
  <c r="N37" i="42" s="1"/>
  <c r="N11" i="2"/>
  <c r="L37" i="42" s="1"/>
  <c r="Q10" i="2"/>
  <c r="P10" i="2"/>
  <c r="N36" i="42" s="1"/>
  <c r="N10" i="2"/>
  <c r="L36" i="42" s="1"/>
  <c r="Q9" i="2"/>
  <c r="P9" i="2"/>
  <c r="N35" i="42" s="1"/>
  <c r="N9" i="2"/>
  <c r="L35" i="42" s="1"/>
  <c r="Q8" i="2"/>
  <c r="P8" i="2"/>
  <c r="N34" i="42" s="1"/>
  <c r="N8" i="2"/>
  <c r="L34" i="42" s="1"/>
  <c r="P7" i="2"/>
  <c r="N33" i="42" s="1"/>
  <c r="N7" i="2"/>
  <c r="L33" i="42" s="1"/>
  <c r="L7" i="2"/>
  <c r="J33" i="42" s="1"/>
  <c r="Y11" i="27"/>
  <c r="Y5" i="27"/>
  <c r="W12" i="27"/>
  <c r="W9" i="27"/>
  <c r="U6" i="27"/>
  <c r="W5" i="27"/>
  <c r="U5" i="27"/>
  <c r="S5" i="27"/>
  <c r="M11" i="27"/>
  <c r="O5" i="27"/>
  <c r="M5" i="27"/>
  <c r="R9" i="3" l="1"/>
  <c r="R8" i="5"/>
  <c r="R10" i="5"/>
  <c r="R7" i="7"/>
  <c r="R9" i="7"/>
  <c r="R8" i="8"/>
  <c r="R10" i="8"/>
  <c r="R12" i="8"/>
  <c r="R8" i="3"/>
  <c r="R7" i="3"/>
  <c r="R7" i="5"/>
  <c r="R9" i="5"/>
  <c r="R8" i="7"/>
  <c r="R10" i="7"/>
  <c r="R12" i="7"/>
  <c r="R9" i="8"/>
  <c r="R11" i="8"/>
  <c r="R7" i="6"/>
  <c r="R9" i="6"/>
  <c r="R11" i="6"/>
  <c r="R8" i="6"/>
  <c r="R10" i="6"/>
  <c r="R12" i="6"/>
  <c r="R21" i="4"/>
  <c r="R11" i="7"/>
  <c r="R7" i="4"/>
  <c r="R8" i="4"/>
  <c r="R10" i="4"/>
  <c r="R12" i="4"/>
  <c r="R9" i="4"/>
  <c r="R11" i="4"/>
  <c r="R10" i="2"/>
  <c r="R7" i="2"/>
  <c r="R8" i="2"/>
  <c r="R9" i="2"/>
  <c r="R11" i="2"/>
  <c r="Q13" i="27"/>
  <c r="W13" i="27"/>
  <c r="Y13" i="27"/>
  <c r="U13" i="27"/>
  <c r="M13" i="27"/>
  <c r="O13" i="27"/>
  <c r="S13" i="27"/>
  <c r="J30" i="36"/>
  <c r="I30" i="36"/>
  <c r="H30" i="36"/>
  <c r="E30" i="36"/>
  <c r="B30" i="36"/>
  <c r="B17" i="36"/>
  <c r="B18" i="36" s="1"/>
  <c r="B16" i="36"/>
  <c r="M12" i="36"/>
  <c r="L12" i="36"/>
  <c r="K12" i="36"/>
  <c r="J12" i="36"/>
  <c r="I12" i="36"/>
  <c r="H12" i="36"/>
  <c r="G12" i="36"/>
  <c r="F12" i="36"/>
  <c r="E12" i="36"/>
  <c r="G24" i="36" l="1"/>
  <c r="G30" i="36" s="1"/>
  <c r="D22" i="36"/>
  <c r="D30" i="36" s="1"/>
  <c r="F22" i="36"/>
  <c r="F30" i="36" s="1"/>
  <c r="C22" i="36"/>
  <c r="C30" i="36" s="1"/>
  <c r="I14" i="19" l="1"/>
  <c r="I13" i="19"/>
  <c r="I12" i="19"/>
  <c r="I11" i="19"/>
  <c r="I10" i="19"/>
  <c r="I9" i="19"/>
  <c r="I8" i="19"/>
  <c r="I7" i="25"/>
  <c r="H7" i="25"/>
  <c r="H63" i="42" s="1"/>
  <c r="I12" i="8"/>
  <c r="I11" i="8"/>
  <c r="I10" i="8"/>
  <c r="I9" i="8"/>
  <c r="I8" i="8"/>
  <c r="H12" i="8"/>
  <c r="H53" i="42" s="1"/>
  <c r="H11" i="8"/>
  <c r="H52" i="42" s="1"/>
  <c r="H10" i="8"/>
  <c r="H51" i="42" s="1"/>
  <c r="H9" i="8"/>
  <c r="H50" i="42" s="1"/>
  <c r="H8" i="8"/>
  <c r="H49" i="42" s="1"/>
  <c r="I12" i="7"/>
  <c r="I11" i="7"/>
  <c r="J10" i="7"/>
  <c r="I9" i="7"/>
  <c r="I8" i="7"/>
  <c r="I7" i="7"/>
  <c r="H12" i="7"/>
  <c r="H25" i="42" s="1"/>
  <c r="H11" i="7"/>
  <c r="H24" i="42" s="1"/>
  <c r="H10" i="7"/>
  <c r="H23" i="42" s="1"/>
  <c r="H9" i="7"/>
  <c r="H22" i="42" s="1"/>
  <c r="H8" i="7"/>
  <c r="H21" i="42" s="1"/>
  <c r="H7" i="7"/>
  <c r="H20" i="42" s="1"/>
  <c r="I7" i="6"/>
  <c r="I27" i="6"/>
  <c r="J27" i="6" s="1"/>
  <c r="I26" i="6"/>
  <c r="J26" i="6" s="1"/>
  <c r="I25" i="6"/>
  <c r="J25" i="6" s="1"/>
  <c r="I22" i="6"/>
  <c r="J22" i="6" s="1"/>
  <c r="I21" i="6"/>
  <c r="J21" i="6" s="1"/>
  <c r="I20" i="6"/>
  <c r="J20" i="6" s="1"/>
  <c r="I19" i="6"/>
  <c r="J19" i="6" s="1"/>
  <c r="I18" i="6"/>
  <c r="J18" i="6" s="1"/>
  <c r="I12" i="6"/>
  <c r="I11" i="6"/>
  <c r="I10" i="6"/>
  <c r="I9" i="6"/>
  <c r="I8" i="6"/>
  <c r="H27" i="6"/>
  <c r="H26" i="6"/>
  <c r="H25" i="6"/>
  <c r="H22" i="6"/>
  <c r="H21" i="6"/>
  <c r="H20" i="6"/>
  <c r="H19" i="6"/>
  <c r="H18" i="6"/>
  <c r="H12" i="6"/>
  <c r="H99" i="42" s="1"/>
  <c r="H11" i="6"/>
  <c r="H98" i="42" s="1"/>
  <c r="H10" i="6"/>
  <c r="H97" i="42" s="1"/>
  <c r="H9" i="6"/>
  <c r="H96" i="42" s="1"/>
  <c r="H8" i="6"/>
  <c r="H95" i="42" s="1"/>
  <c r="H7" i="6"/>
  <c r="H94" i="42" s="1"/>
  <c r="J10" i="5"/>
  <c r="J9" i="5"/>
  <c r="J8" i="5"/>
  <c r="J7" i="5"/>
  <c r="I19" i="4"/>
  <c r="J19" i="4" s="1"/>
  <c r="H10" i="5"/>
  <c r="H125" i="42" s="1"/>
  <c r="H9" i="5"/>
  <c r="H124" i="42" s="1"/>
  <c r="H8" i="5"/>
  <c r="H123" i="42" s="1"/>
  <c r="H7" i="5"/>
  <c r="H122" i="42" s="1"/>
  <c r="I7" i="4"/>
  <c r="I27" i="4"/>
  <c r="J27" i="4" s="1"/>
  <c r="I25" i="4"/>
  <c r="J25" i="4" s="1"/>
  <c r="I24" i="4"/>
  <c r="J24" i="4" s="1"/>
  <c r="I23" i="4"/>
  <c r="J23" i="4" s="1"/>
  <c r="I22" i="4"/>
  <c r="J22" i="4" s="1"/>
  <c r="I21" i="4"/>
  <c r="I20" i="4"/>
  <c r="J20" i="4" s="1"/>
  <c r="I12" i="4"/>
  <c r="I11" i="4"/>
  <c r="I10" i="4"/>
  <c r="I9" i="4"/>
  <c r="I8" i="4"/>
  <c r="H8" i="4"/>
  <c r="H111" i="42" s="1"/>
  <c r="H7" i="4"/>
  <c r="H110" i="42" s="1"/>
  <c r="H27" i="4"/>
  <c r="H24" i="4"/>
  <c r="H23" i="4"/>
  <c r="H22" i="4"/>
  <c r="H21" i="4"/>
  <c r="H20" i="4"/>
  <c r="H19" i="4"/>
  <c r="H12" i="4"/>
  <c r="H115" i="42" s="1"/>
  <c r="H11" i="4"/>
  <c r="H114" i="42" s="1"/>
  <c r="H10" i="4"/>
  <c r="H113" i="42" s="1"/>
  <c r="H9" i="4"/>
  <c r="H112" i="42" s="1"/>
  <c r="I7" i="3"/>
  <c r="I17" i="3"/>
  <c r="J17" i="3" s="1"/>
  <c r="I16" i="3"/>
  <c r="J16" i="3" s="1"/>
  <c r="I15" i="3"/>
  <c r="J15" i="3" s="1"/>
  <c r="I9" i="3"/>
  <c r="I8" i="3"/>
  <c r="L17" i="3"/>
  <c r="L16" i="3"/>
  <c r="L15" i="3"/>
  <c r="L9" i="3"/>
  <c r="J44" i="42" s="1"/>
  <c r="L8" i="3"/>
  <c r="J43" i="42" s="1"/>
  <c r="L7" i="3"/>
  <c r="J42" i="42" s="1"/>
  <c r="G18" i="3"/>
  <c r="H17" i="3"/>
  <c r="H16" i="3"/>
  <c r="H15" i="3"/>
  <c r="H9" i="3"/>
  <c r="H44" i="42" s="1"/>
  <c r="H8" i="3"/>
  <c r="H43" i="42" s="1"/>
  <c r="H7" i="3"/>
  <c r="H42" i="42" s="1"/>
  <c r="I8" i="2"/>
  <c r="I9" i="2"/>
  <c r="I10" i="2"/>
  <c r="I11" i="2"/>
  <c r="D7" i="2"/>
  <c r="D33" i="42" s="1"/>
  <c r="F7" i="2"/>
  <c r="F33" i="42" s="1"/>
  <c r="H7" i="2"/>
  <c r="H33" i="42" s="1"/>
  <c r="D8" i="2"/>
  <c r="D34" i="42" s="1"/>
  <c r="F8" i="2"/>
  <c r="F34" i="42" s="1"/>
  <c r="H8" i="2"/>
  <c r="H34" i="42" s="1"/>
  <c r="L8" i="2"/>
  <c r="J34" i="42" s="1"/>
  <c r="D9" i="2"/>
  <c r="D35" i="42" s="1"/>
  <c r="F9" i="2"/>
  <c r="F35" i="42" s="1"/>
  <c r="H9" i="2"/>
  <c r="H35" i="42" s="1"/>
  <c r="L9" i="2"/>
  <c r="J35" i="42" s="1"/>
  <c r="D10" i="2"/>
  <c r="D36" i="42" s="1"/>
  <c r="F10" i="2"/>
  <c r="F36" i="42" s="1"/>
  <c r="H10" i="2"/>
  <c r="H36" i="42" s="1"/>
  <c r="L10" i="2"/>
  <c r="J36" i="42" s="1"/>
  <c r="D11" i="2"/>
  <c r="D37" i="42" s="1"/>
  <c r="F11" i="2"/>
  <c r="F37" i="42" s="1"/>
  <c r="H11" i="2"/>
  <c r="H37" i="42" s="1"/>
  <c r="L11" i="2"/>
  <c r="J37" i="42" s="1"/>
  <c r="B12" i="2"/>
  <c r="B38" i="42" l="1"/>
  <c r="D12" i="2"/>
  <c r="D38" i="42" s="1"/>
  <c r="H12" i="2"/>
  <c r="H38" i="42" s="1"/>
  <c r="N12" i="2"/>
  <c r="L38" i="42" s="1"/>
  <c r="F12" i="2"/>
  <c r="F38" i="42" s="1"/>
  <c r="L12" i="2"/>
  <c r="J38" i="42" s="1"/>
  <c r="P12" i="2"/>
  <c r="N38" i="42" s="1"/>
  <c r="J12" i="2"/>
  <c r="J9" i="3"/>
  <c r="J7" i="3"/>
  <c r="J8" i="4"/>
  <c r="J10" i="4"/>
  <c r="J12" i="4"/>
  <c r="J7" i="4"/>
  <c r="J7" i="7"/>
  <c r="J9" i="7"/>
  <c r="J9" i="8"/>
  <c r="J11" i="8"/>
  <c r="J8" i="19"/>
  <c r="J10" i="19"/>
  <c r="J12" i="19"/>
  <c r="J14" i="19"/>
  <c r="J10" i="2"/>
  <c r="J8" i="2"/>
  <c r="J8" i="3"/>
  <c r="J8" i="7"/>
  <c r="J12" i="7"/>
  <c r="J8" i="8"/>
  <c r="J10" i="8"/>
  <c r="J12" i="8"/>
  <c r="J7" i="25"/>
  <c r="J9" i="19"/>
  <c r="J11" i="19"/>
  <c r="J13" i="19"/>
  <c r="J8" i="6"/>
  <c r="J10" i="6"/>
  <c r="J12" i="6"/>
  <c r="J9" i="6"/>
  <c r="J11" i="6"/>
  <c r="J7" i="6"/>
  <c r="R12" i="2"/>
  <c r="J21" i="4"/>
  <c r="J11" i="2"/>
  <c r="J9" i="4"/>
  <c r="J11" i="4"/>
  <c r="J11" i="7"/>
  <c r="J9" i="2"/>
  <c r="J4" i="34"/>
  <c r="J17" i="34" s="1"/>
  <c r="R4" i="34"/>
  <c r="R17" i="34" s="1"/>
  <c r="S17" i="34" s="1"/>
  <c r="K4" i="34" l="1"/>
  <c r="Q4" i="34"/>
  <c r="Q17" i="34" s="1"/>
  <c r="S4" i="34"/>
  <c r="I4" i="34"/>
  <c r="I17" i="34" s="1"/>
  <c r="M4" i="34"/>
  <c r="M17" i="34" s="1"/>
  <c r="G4" i="34"/>
  <c r="E4" i="34"/>
  <c r="L7" i="25" l="1"/>
  <c r="J63" i="42" s="1"/>
  <c r="F7" i="25"/>
  <c r="F63" i="42" s="1"/>
  <c r="D7" i="25"/>
  <c r="D63" i="42" s="1"/>
  <c r="L9" i="8" l="1"/>
  <c r="J50" i="42" s="1"/>
  <c r="L10" i="8"/>
  <c r="J51" i="42" s="1"/>
  <c r="L11" i="8"/>
  <c r="J52" i="42" s="1"/>
  <c r="L12" i="8"/>
  <c r="J53" i="42" s="1"/>
  <c r="L8" i="8"/>
  <c r="J49" i="42" s="1"/>
  <c r="F9" i="8"/>
  <c r="F50" i="42" s="1"/>
  <c r="F10" i="8"/>
  <c r="F51" i="42" s="1"/>
  <c r="F11" i="8"/>
  <c r="F52" i="42" s="1"/>
  <c r="F12" i="8"/>
  <c r="F53" i="42" s="1"/>
  <c r="F8" i="8"/>
  <c r="F49" i="42" s="1"/>
  <c r="D9" i="8"/>
  <c r="D50" i="42" s="1"/>
  <c r="D10" i="8"/>
  <c r="D51" i="42" s="1"/>
  <c r="D11" i="8"/>
  <c r="D52" i="42" s="1"/>
  <c r="D12" i="8"/>
  <c r="D53" i="42" s="1"/>
  <c r="D8" i="8"/>
  <c r="D49" i="42" s="1"/>
  <c r="L8" i="7"/>
  <c r="J21" i="42" s="1"/>
  <c r="L9" i="7"/>
  <c r="J22" i="42" s="1"/>
  <c r="L10" i="7"/>
  <c r="J23" i="42" s="1"/>
  <c r="L11" i="7"/>
  <c r="J24" i="42" s="1"/>
  <c r="L12" i="7"/>
  <c r="J25" i="42" s="1"/>
  <c r="L7" i="7"/>
  <c r="J20" i="42" s="1"/>
  <c r="F8" i="7"/>
  <c r="F21" i="42" s="1"/>
  <c r="F9" i="7"/>
  <c r="F22" i="42" s="1"/>
  <c r="F10" i="7"/>
  <c r="F23" i="42" s="1"/>
  <c r="F11" i="7"/>
  <c r="F24" i="42" s="1"/>
  <c r="F12" i="7"/>
  <c r="F25" i="42" s="1"/>
  <c r="F7" i="7"/>
  <c r="F20" i="42" s="1"/>
  <c r="D8" i="7"/>
  <c r="D21" i="42" s="1"/>
  <c r="D9" i="7"/>
  <c r="D22" i="42" s="1"/>
  <c r="D10" i="7"/>
  <c r="D23" i="42" s="1"/>
  <c r="D11" i="7"/>
  <c r="D24" i="42" s="1"/>
  <c r="D12" i="7"/>
  <c r="D25" i="42" s="1"/>
  <c r="D7" i="7"/>
  <c r="D20" i="42" s="1"/>
  <c r="L18" i="6"/>
  <c r="L19" i="6"/>
  <c r="L20" i="6"/>
  <c r="L21" i="6"/>
  <c r="L22" i="6"/>
  <c r="L25" i="6"/>
  <c r="L26" i="6"/>
  <c r="L27" i="6"/>
  <c r="F18" i="6"/>
  <c r="F19" i="6"/>
  <c r="F20" i="6"/>
  <c r="F21" i="6"/>
  <c r="F22" i="6"/>
  <c r="F25" i="6"/>
  <c r="F26" i="6"/>
  <c r="F27" i="6"/>
  <c r="D18" i="6"/>
  <c r="D19" i="6"/>
  <c r="D20" i="6"/>
  <c r="D21" i="6"/>
  <c r="D22" i="6"/>
  <c r="D25" i="6"/>
  <c r="D26" i="6"/>
  <c r="D27" i="6"/>
  <c r="L8" i="6"/>
  <c r="J95" i="42" s="1"/>
  <c r="L9" i="6"/>
  <c r="J96" i="42" s="1"/>
  <c r="L10" i="6"/>
  <c r="J97" i="42" s="1"/>
  <c r="L11" i="6"/>
  <c r="J98" i="42" s="1"/>
  <c r="L12" i="6"/>
  <c r="J99" i="42" s="1"/>
  <c r="L7" i="6"/>
  <c r="J94" i="42" s="1"/>
  <c r="F8" i="6"/>
  <c r="F95" i="42" s="1"/>
  <c r="F9" i="6"/>
  <c r="F96" i="42" s="1"/>
  <c r="F10" i="6"/>
  <c r="F97" i="42" s="1"/>
  <c r="F11" i="6"/>
  <c r="F98" i="42" s="1"/>
  <c r="F12" i="6"/>
  <c r="F99" i="42" s="1"/>
  <c r="F7" i="6"/>
  <c r="F94" i="42" s="1"/>
  <c r="D8" i="6"/>
  <c r="D95" i="42" s="1"/>
  <c r="D9" i="6"/>
  <c r="D96" i="42" s="1"/>
  <c r="D10" i="6"/>
  <c r="D97" i="42" s="1"/>
  <c r="D11" i="6"/>
  <c r="D98" i="42" s="1"/>
  <c r="D12" i="6"/>
  <c r="D99" i="42" s="1"/>
  <c r="D7" i="6"/>
  <c r="D94" i="42" s="1"/>
  <c r="L8" i="5"/>
  <c r="J123" i="42" s="1"/>
  <c r="L9" i="5"/>
  <c r="J124" i="42" s="1"/>
  <c r="L10" i="5"/>
  <c r="J125" i="42" s="1"/>
  <c r="L7" i="5"/>
  <c r="J122" i="42" s="1"/>
  <c r="F8" i="5"/>
  <c r="F123" i="42" s="1"/>
  <c r="F9" i="5"/>
  <c r="F124" i="42" s="1"/>
  <c r="F10" i="5"/>
  <c r="F125" i="42" s="1"/>
  <c r="F7" i="5"/>
  <c r="F122" i="42" s="1"/>
  <c r="D8" i="5"/>
  <c r="D123" i="42" s="1"/>
  <c r="D9" i="5"/>
  <c r="D124" i="42" s="1"/>
  <c r="D10" i="5"/>
  <c r="D125" i="42" s="1"/>
  <c r="D7" i="5"/>
  <c r="D122" i="42" s="1"/>
  <c r="C28" i="4"/>
  <c r="B28" i="4"/>
  <c r="L20" i="4"/>
  <c r="L21" i="4"/>
  <c r="L22" i="4"/>
  <c r="L23" i="4"/>
  <c r="L24" i="4"/>
  <c r="L27" i="4"/>
  <c r="F20" i="4"/>
  <c r="F21" i="4"/>
  <c r="F22" i="4"/>
  <c r="F23" i="4"/>
  <c r="F24" i="4"/>
  <c r="F25" i="4"/>
  <c r="F27" i="4"/>
  <c r="F19" i="4"/>
  <c r="D20" i="4"/>
  <c r="D21" i="4"/>
  <c r="D22" i="4"/>
  <c r="D23" i="4"/>
  <c r="D24" i="4"/>
  <c r="D27" i="4"/>
  <c r="D19" i="4"/>
  <c r="L8" i="4"/>
  <c r="J111" i="42" s="1"/>
  <c r="L9" i="4"/>
  <c r="J112" i="42" s="1"/>
  <c r="L10" i="4"/>
  <c r="J113" i="42" s="1"/>
  <c r="L11" i="4"/>
  <c r="J114" i="42" s="1"/>
  <c r="L12" i="4"/>
  <c r="J115" i="42" s="1"/>
  <c r="L7" i="4"/>
  <c r="J110" i="42" s="1"/>
  <c r="F8" i="4"/>
  <c r="F111" i="42" s="1"/>
  <c r="F9" i="4"/>
  <c r="F112" i="42" s="1"/>
  <c r="F10" i="4"/>
  <c r="F113" i="42" s="1"/>
  <c r="F11" i="4"/>
  <c r="F114" i="42" s="1"/>
  <c r="F12" i="4"/>
  <c r="F115" i="42" s="1"/>
  <c r="F7" i="4"/>
  <c r="F110" i="42" s="1"/>
  <c r="D8" i="4"/>
  <c r="D111" i="42" s="1"/>
  <c r="D9" i="4"/>
  <c r="D112" i="42" s="1"/>
  <c r="D10" i="4"/>
  <c r="D113" i="42" s="1"/>
  <c r="D11" i="4"/>
  <c r="D114" i="42" s="1"/>
  <c r="D12" i="4"/>
  <c r="D115" i="42" s="1"/>
  <c r="D7" i="4"/>
  <c r="D110" i="42" s="1"/>
  <c r="F16" i="3"/>
  <c r="F17" i="3"/>
  <c r="F15" i="3"/>
  <c r="D16" i="3"/>
  <c r="D17" i="3"/>
  <c r="D15" i="3"/>
  <c r="F8" i="3"/>
  <c r="F43" i="42" s="1"/>
  <c r="F9" i="3"/>
  <c r="F44" i="42" s="1"/>
  <c r="F7" i="3"/>
  <c r="F42" i="42" s="1"/>
  <c r="D8" i="3"/>
  <c r="D43" i="42" s="1"/>
  <c r="D9" i="3"/>
  <c r="D44" i="42" s="1"/>
  <c r="D7" i="3"/>
  <c r="D42" i="42" s="1"/>
  <c r="H28" i="4" l="1"/>
  <c r="N28" i="4"/>
  <c r="P28" i="4"/>
  <c r="D28" i="4"/>
  <c r="K12" i="27" l="1"/>
  <c r="I11" i="27"/>
  <c r="I10" i="27"/>
  <c r="K9" i="27"/>
  <c r="I6" i="27"/>
  <c r="K5" i="27"/>
  <c r="I5" i="27"/>
  <c r="R15" i="19"/>
  <c r="B18" i="3"/>
  <c r="K18" i="3"/>
  <c r="Q18" i="3" s="1"/>
  <c r="E18" i="3"/>
  <c r="C18" i="3"/>
  <c r="Q16" i="7"/>
  <c r="B13" i="6"/>
  <c r="Q29" i="6"/>
  <c r="B10" i="3"/>
  <c r="F18" i="3" l="1"/>
  <c r="R16" i="7"/>
  <c r="B45" i="42"/>
  <c r="D10" i="3"/>
  <c r="D45" i="42" s="1"/>
  <c r="H10" i="3"/>
  <c r="H45" i="42" s="1"/>
  <c r="N10" i="3"/>
  <c r="L45" i="42" s="1"/>
  <c r="F10" i="3"/>
  <c r="F45" i="42" s="1"/>
  <c r="L10" i="3"/>
  <c r="J45" i="42" s="1"/>
  <c r="P10" i="3"/>
  <c r="N45" i="42" s="1"/>
  <c r="J10" i="3"/>
  <c r="B100" i="42"/>
  <c r="P13" i="6"/>
  <c r="N100" i="42" s="1"/>
  <c r="N13" i="6"/>
  <c r="L100" i="42" s="1"/>
  <c r="L13" i="6"/>
  <c r="J100" i="42" s="1"/>
  <c r="H13" i="6"/>
  <c r="H100" i="42" s="1"/>
  <c r="F13" i="6"/>
  <c r="F100" i="42" s="1"/>
  <c r="J13" i="6"/>
  <c r="R10" i="3"/>
  <c r="R29" i="6"/>
  <c r="I13" i="27"/>
  <c r="I29" i="6"/>
  <c r="J29" i="6" s="1"/>
  <c r="N18" i="5"/>
  <c r="L133" i="42" s="1"/>
  <c r="P18" i="5"/>
  <c r="N133" i="42" s="1"/>
  <c r="L28" i="4"/>
  <c r="Q28" i="4"/>
  <c r="R28" i="4" s="1"/>
  <c r="L18" i="5"/>
  <c r="J133" i="42" s="1"/>
  <c r="R18" i="5"/>
  <c r="H29" i="6"/>
  <c r="N29" i="6"/>
  <c r="P29" i="6"/>
  <c r="R18" i="3"/>
  <c r="R13" i="6"/>
  <c r="H18" i="3"/>
  <c r="N18" i="3"/>
  <c r="P18" i="3"/>
  <c r="R18" i="8"/>
  <c r="P16" i="7"/>
  <c r="N29" i="42" s="1"/>
  <c r="K13" i="27"/>
  <c r="F28" i="4"/>
  <c r="I28" i="4"/>
  <c r="J28" i="4" s="1"/>
  <c r="I18" i="3"/>
  <c r="J18" i="3" s="1"/>
  <c r="L18" i="3"/>
  <c r="D18" i="5"/>
  <c r="D133" i="42" s="1"/>
  <c r="J18" i="5"/>
  <c r="D13" i="6"/>
  <c r="D100" i="42" s="1"/>
  <c r="F29" i="6"/>
  <c r="L29" i="6"/>
  <c r="D29" i="6"/>
  <c r="H18" i="5"/>
  <c r="H133" i="42" s="1"/>
  <c r="F18" i="5"/>
  <c r="F133" i="42" s="1"/>
  <c r="D18" i="3"/>
  <c r="N20" i="39" l="1"/>
  <c r="L166" i="42" s="1"/>
  <c r="H20" i="39"/>
  <c r="H166" i="42" s="1"/>
  <c r="L20" i="39"/>
  <c r="J166" i="42" s="1"/>
  <c r="D20" i="39"/>
  <c r="D166" i="42" s="1"/>
  <c r="F20" i="39"/>
  <c r="F166" i="42" s="1"/>
  <c r="R20" i="39"/>
  <c r="J20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K27" authorId="0" shapeId="0" xr:uid="{00000000-0006-0000-0600-000001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  <comment ref="M27" authorId="0" shapeId="0" xr:uid="{00000000-0006-0000-0600-000002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  <comment ref="O27" authorId="0" shapeId="0" xr:uid="{00000000-0006-0000-0600-000003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K26" authorId="0" shapeId="0" xr:uid="{00000000-0006-0000-0700-000001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  <comment ref="M26" authorId="0" shapeId="0" xr:uid="{00000000-0006-0000-0700-000002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  <comment ref="O26" authorId="0" shapeId="0" xr:uid="{00000000-0006-0000-0700-000003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3 de 20 
1 de 10 (24 ama + 10 ubs)
</t>
        </r>
      </text>
    </comment>
    <comment ref="E1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1 de 12 hrs
</t>
        </r>
      </text>
    </comment>
    <comment ref="G1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2 de 12 hrs
</t>
        </r>
      </text>
    </comment>
    <comment ref="C20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E20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G20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K20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M20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</commentList>
</comments>
</file>

<file path=xl/sharedStrings.xml><?xml version="1.0" encoding="utf-8"?>
<sst xmlns="http://schemas.openxmlformats.org/spreadsheetml/2006/main" count="877" uniqueCount="337">
  <si>
    <t xml:space="preserve">                  OSS/SPDM – Associação Paulista para o Desenvolvimento da Medicina</t>
  </si>
  <si>
    <t>%</t>
  </si>
  <si>
    <t>SET</t>
  </si>
  <si>
    <t>OUT</t>
  </si>
  <si>
    <t>NOV</t>
  </si>
  <si>
    <t>DEZ</t>
  </si>
  <si>
    <t>SOMA</t>
  </si>
  <si>
    <t>Cirurgião Dentista (atendimento individual) UBS</t>
  </si>
  <si>
    <t>Cirurgião Dentista (procedimento) UBS</t>
  </si>
  <si>
    <t>Clinico (consulta) UBS</t>
  </si>
  <si>
    <t>Psiquiatra (consulta) UBS</t>
  </si>
  <si>
    <t>Tocoginecologista (consulta) UBS</t>
  </si>
  <si>
    <t>Categoria Profissional</t>
  </si>
  <si>
    <t>Meta / Mês</t>
  </si>
  <si>
    <t xml:space="preserve">Enfermeiro - ESF (40h) </t>
  </si>
  <si>
    <t>ACS (Visita Domiciliar) - ESF</t>
  </si>
  <si>
    <t xml:space="preserve">Enfermeiro (consulta) - ESF </t>
  </si>
  <si>
    <t>Cirurgião Dentista (20h) UBS</t>
  </si>
  <si>
    <t>Pediatra (consulta) UBS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</si>
  <si>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</si>
  <si>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</si>
  <si>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</si>
  <si>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</si>
  <si>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</si>
  <si>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</si>
  <si>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</si>
  <si>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</si>
  <si>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</si>
  <si>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</si>
  <si>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</si>
  <si>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</si>
  <si>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</si>
  <si>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</si>
  <si>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EM</t>
  </si>
  <si>
    <t>meta mes</t>
  </si>
  <si>
    <t>INDICADORES DE PRODUÇÃO</t>
  </si>
  <si>
    <t xml:space="preserve"> (med12h)</t>
  </si>
  <si>
    <t>PRODUÇÃO AMA-E</t>
  </si>
  <si>
    <t>Nº CONSULTA ANGIOLOGIA</t>
  </si>
  <si>
    <t>Nº CONSULTA CARDIOLOGIA</t>
  </si>
  <si>
    <t>Nº CONSULTA DERMATOLOGIA</t>
  </si>
  <si>
    <t>Nº CONSULTA ENDOCRINOLOGIA</t>
  </si>
  <si>
    <t>Nº CONSULTA GASTROENTEROLOGIA</t>
  </si>
  <si>
    <t>Nº CONSULTA NEUROLOGIA</t>
  </si>
  <si>
    <t>Nº CONSULTA ORTOPEDIA</t>
  </si>
  <si>
    <t>Nº CONSULTA PNEUMOLOGIA</t>
  </si>
  <si>
    <t>Nº CONSULTA REUMATOLOGIA</t>
  </si>
  <si>
    <t>Nº CONSULTA UROLOGIA</t>
  </si>
  <si>
    <t>sem RH</t>
  </si>
  <si>
    <t>PRODUÇÃO APOIO DIAGNÓSTICO</t>
  </si>
  <si>
    <t>Nº ECOCARDIOGRAMA COM E SEM DOPPLER</t>
  </si>
  <si>
    <t>Nº TESTE ERGOMÉTRICO</t>
  </si>
  <si>
    <t>Nº HOLTER</t>
  </si>
  <si>
    <t>Nº M.A.P.A</t>
  </si>
  <si>
    <t>Nº ELETROENCEFALOGRAFIA</t>
  </si>
  <si>
    <t>Nº ULTRASSONOGRAFIA GERAL</t>
  </si>
  <si>
    <t>Nº ULTRASSONOGRAFIA COM DOPPLER(DOPPLER VASCULAR)</t>
  </si>
  <si>
    <t>PRODUÇÃO CAPS V2</t>
  </si>
  <si>
    <t>23*</t>
  </si>
  <si>
    <t>Nº PACIENTE COM CADASTRO ATIVO CAPS (RASS)</t>
  </si>
  <si>
    <t>PRODUÇÃO CER</t>
  </si>
  <si>
    <t>Nº PACIENTE NOVO - CER</t>
  </si>
  <si>
    <t>Nº PACIENTE ACOMPANHADO PELO PROGRAM. ACOMP.PESSOA DEF.</t>
  </si>
  <si>
    <t>PRODUÇÃO EMAD</t>
  </si>
  <si>
    <t>Nº PACIENTES ATIVOS EM ATENDIMENTO DOMICILIAR</t>
  </si>
  <si>
    <t>(20h)</t>
  </si>
  <si>
    <t>PRODUÇÃO ESPECIALIDADES ODONTOLÓGICA</t>
  </si>
  <si>
    <t>Nº PROCEDIMENTO PERIO</t>
  </si>
  <si>
    <t>Nº PROCEDIMENTO CIRURGIA ORAL</t>
  </si>
  <si>
    <t>Nº PROCEDIMENTO ENDO</t>
  </si>
  <si>
    <t>Nº PROCEDIMENTO PACIENTE ESPECIAL</t>
  </si>
  <si>
    <t>Nº ATENDIMENTO SEMIO</t>
  </si>
  <si>
    <t>Nº ATENDIMENTO PROTESISTA</t>
  </si>
  <si>
    <t>Nº ATENDIMENTO ORTOPEDIA/ORTODONTIA</t>
  </si>
  <si>
    <t>na</t>
  </si>
  <si>
    <t>Nº PRÓTESE/APARELHO ENTREGUE</t>
  </si>
  <si>
    <t>20h</t>
  </si>
  <si>
    <t>PRODUÇÃO UBS</t>
  </si>
  <si>
    <t>Nº CONSULTA CLÍNICA GERAL</t>
  </si>
  <si>
    <t>Nº CONSULTA GO</t>
  </si>
  <si>
    <t>Nº CONSULTA PEDIATRA</t>
  </si>
  <si>
    <t>Nº CONSULTA PSIQUIATRA</t>
  </si>
  <si>
    <t>Nº CONSULTA CARDIO</t>
  </si>
  <si>
    <t>Nº CONSULTA PNEUMO</t>
  </si>
  <si>
    <t>Nº ATENDIMENTO INDIVIDUAL CIR.DENTISTA</t>
  </si>
  <si>
    <t>Nº PROCEDIMENTO INDIVIDUAL CIR.DENTISTA</t>
  </si>
  <si>
    <t>PRODUÇÃO UBS MISTA</t>
  </si>
  <si>
    <t>Nº EQUIPE ESF</t>
  </si>
  <si>
    <t>Nº CONSULTA MÉDICA ESF</t>
  </si>
  <si>
    <t>Nº CONSULTA ENFERMEIRO ESF</t>
  </si>
  <si>
    <t>N° VISITA DOMICILIAR AGENTE COMUNITÁRIO DE SAÚDE ESF</t>
  </si>
  <si>
    <t>5 (40h)</t>
  </si>
  <si>
    <t>Nº ATENDIMENTO INDIVIDUAL ODONTO ESF</t>
  </si>
  <si>
    <t>Nº PROCEDIMENTO INDIVIDUAL DA EQUIPE ODONTO ESF</t>
  </si>
  <si>
    <t>5 (20h)</t>
  </si>
  <si>
    <t>Nº ATENDIMENTO INDIVIDUAL ODONTO C.BÁSICA</t>
  </si>
  <si>
    <t>Nº PROCEDIMENTO INDIVIDUAL DA EQUIPE ODONTO C.BÁSICA</t>
  </si>
  <si>
    <t>PRODUÇÃO URGÊNCIA/EMERGÊNCIA COMPLEMENTAR</t>
  </si>
  <si>
    <t>82 med 12h</t>
  </si>
  <si>
    <t>Nº ATENDIMENTO URGÊNCIA C/OBS ATÉ 24 HRS</t>
  </si>
  <si>
    <t>2 med 20h</t>
  </si>
  <si>
    <t>Nº ATENDIMENTO URGÊNCIA AT.ESPECIALIZADA</t>
  </si>
  <si>
    <t>30h</t>
  </si>
  <si>
    <t>PRODUÇÃO URSI</t>
  </si>
  <si>
    <t>4 med20h</t>
  </si>
  <si>
    <t>Nº CONSULTA MÉDICA GERIATRA</t>
  </si>
  <si>
    <t>Nº CONSULTA NUTRICIONISTA</t>
  </si>
  <si>
    <t>Nº CONSULTA PSICOLOGIA</t>
  </si>
  <si>
    <t>Nº CONSULTA ENFERMEIRO URSI</t>
  </si>
  <si>
    <t>Nº CONSULTA ASSISTENTE SOCIAL URSI</t>
  </si>
  <si>
    <t>Nº CONSULTA FISIOTERAPEUTA</t>
  </si>
  <si>
    <t>Nº CONSULTA TERAPEUTA OCUPACIONAL</t>
  </si>
  <si>
    <t>17 med12h</t>
  </si>
  <si>
    <t>AMA</t>
  </si>
  <si>
    <t>Nº CONSULTA HOMEOPATA</t>
  </si>
  <si>
    <t>PACIENTE EM ACOMPANHAMENTO</t>
  </si>
  <si>
    <t>PS</t>
  </si>
  <si>
    <t>NASF</t>
  </si>
  <si>
    <t>UBS Tradicional</t>
  </si>
  <si>
    <t>Meta mês</t>
  </si>
  <si>
    <t>Saldo</t>
  </si>
  <si>
    <t xml:space="preserve">Total PS </t>
  </si>
  <si>
    <t>Total UBS</t>
  </si>
  <si>
    <t>Total NASF</t>
  </si>
  <si>
    <t>Total ESB</t>
  </si>
  <si>
    <t>Total AMA</t>
  </si>
  <si>
    <t>Valor contrato total ano</t>
  </si>
  <si>
    <t>Valor contrato mês</t>
  </si>
  <si>
    <t>Valor contrato 5%</t>
  </si>
  <si>
    <t>Valor contrato 95%/mês</t>
  </si>
  <si>
    <t>VALOR MENSAL DESCONTOS QUALIDADE (R$)</t>
  </si>
  <si>
    <t>META</t>
  </si>
  <si>
    <t>Justificativa e providências</t>
  </si>
  <si>
    <t>TOTAL CONSULTA AMA-E</t>
  </si>
  <si>
    <t>Contrato de Gestão: REDE ASSISTENCIAL DA STS VILA MARIA/VILA GUILHERME - ANO 2016</t>
  </si>
  <si>
    <t>OSS/SPDM – Associação Paulista para o Desenvolvimento da Medicina</t>
  </si>
  <si>
    <t>Clínica Médica - Diarista (30 hs)</t>
  </si>
  <si>
    <t>Pediatra - Diarista (30 hs)</t>
  </si>
  <si>
    <t>PRODUÇÃO APD</t>
  </si>
  <si>
    <t>SIM</t>
  </si>
  <si>
    <t>Trimestre</t>
  </si>
  <si>
    <t>Saldo Trimestre</t>
  </si>
  <si>
    <t xml:space="preserve"> Trimestre</t>
  </si>
  <si>
    <t>ACS (Visita Domiciliar)</t>
  </si>
  <si>
    <t xml:space="preserve">Médico Generelista (consulta) </t>
  </si>
  <si>
    <t>ACS  (40h)</t>
  </si>
  <si>
    <t>Enfermeiro (40h)</t>
  </si>
  <si>
    <t>ACS   (40h)</t>
  </si>
  <si>
    <t>Médico Generelista  (40h)</t>
  </si>
  <si>
    <t xml:space="preserve">Fisioterapeuta (20h) </t>
  </si>
  <si>
    <t>Psicólogo (40h)</t>
  </si>
  <si>
    <t>ACS</t>
  </si>
  <si>
    <t>Médico Generalista</t>
  </si>
  <si>
    <t>Enfermeiro  - ESF</t>
  </si>
  <si>
    <t>Clínico</t>
  </si>
  <si>
    <t>Pediatra</t>
  </si>
  <si>
    <t>Tocoginecologista</t>
  </si>
  <si>
    <t>ACS (40h)</t>
  </si>
  <si>
    <t>Médico Generalista (40h)</t>
  </si>
  <si>
    <t>Enfermeiro  - ESF (40h)</t>
  </si>
  <si>
    <t>Clínico Geral (20h)</t>
  </si>
  <si>
    <t>Pediatra (20h)</t>
  </si>
  <si>
    <t>Tocoginecologista (20h)</t>
  </si>
  <si>
    <t>Enfermeiro  (40h)</t>
  </si>
  <si>
    <t>Enfermeiro - ESF</t>
  </si>
  <si>
    <t>Clínico Geral</t>
  </si>
  <si>
    <t>Psquiatra</t>
  </si>
  <si>
    <t>Enfermeiro - ESF (40)</t>
  </si>
  <si>
    <t>Psquiatra (20h)</t>
  </si>
  <si>
    <t>Cirurgião Dentista (procedimento)</t>
  </si>
  <si>
    <t>Cirurgião Dentista - ESB II (procedimento)</t>
  </si>
  <si>
    <t>Clínico Geral (consulta)</t>
  </si>
  <si>
    <t>Pediatra (consulta)</t>
  </si>
  <si>
    <t>Psiquiatra (consulta)</t>
  </si>
  <si>
    <t>Assistente Social (30h)</t>
  </si>
  <si>
    <t>Fisioterapeuta (30h)</t>
  </si>
  <si>
    <t>Enfermeiro - ESF (40h)</t>
  </si>
  <si>
    <t>Fonoaudiólogo (40h)</t>
  </si>
  <si>
    <t>Cirurgião Dentista (atendimento individual) II -  UBS</t>
  </si>
  <si>
    <t>Cirurgião Dentista (atendimento individual) II - UBS</t>
  </si>
  <si>
    <t>Cirurgião dentista - ESB I (atendimento individual) UBS</t>
  </si>
  <si>
    <t>Cirurgião Dentista - ESB II (atendimento individual)</t>
  </si>
  <si>
    <t>Cirurgião Dentista II (40h) UBS</t>
  </si>
  <si>
    <t>Cirugião Dentista - (40h) ESB I  - UBS</t>
  </si>
  <si>
    <t>Cirurgião Dentista (20h)  - UBS</t>
  </si>
  <si>
    <t>Tocoginecologista (consulta) (20h) UBS</t>
  </si>
  <si>
    <t>Pediatra (consulta) (20h) UBS</t>
  </si>
  <si>
    <t>Terapeuta Oupacional (20h)</t>
  </si>
  <si>
    <t>Cirurgião Dentista - ESF I (atendimento individual)</t>
  </si>
  <si>
    <t>Cirurgião Dentista (atendimento individual)</t>
  </si>
  <si>
    <t>Cirugião Dentista - ESB I ( procedimento)</t>
  </si>
  <si>
    <t>Cirurgião Dentista - ESF I (procedimento)</t>
  </si>
  <si>
    <t>Psiquiatra</t>
  </si>
  <si>
    <t>Cirurgião Dentista (20h)</t>
  </si>
  <si>
    <t>Psiquiatra (20h)</t>
  </si>
  <si>
    <t>Cirurgião Dentista - ESB I (atendimento individual)</t>
  </si>
  <si>
    <t>Cirurgião Dentista - ESB I (procedimento)</t>
  </si>
  <si>
    <t>Tocoginecologia</t>
  </si>
  <si>
    <t>Agente indígena de Saúde</t>
  </si>
  <si>
    <t>Médico Generalista - Saúde Indígena</t>
  </si>
  <si>
    <t>Cirurgião dentista (procedimento)</t>
  </si>
  <si>
    <t>Psiaquiatra</t>
  </si>
  <si>
    <t>Enfemeiro Saúde Indígena</t>
  </si>
  <si>
    <t>EQUIPE MINÍMA -  UBS REAL PARQUE –  MISTA - 2016</t>
  </si>
  <si>
    <t>PRODUÇÃO - UBS REAL PARQUE - MISTA – 2016</t>
  </si>
  <si>
    <t>PRODUÇÃO - ATENÇÃO BÁSICA - UBS JARDIM D´ ABRIL - 5 ESF+ 1 ESB MODALIDADE II – 2016</t>
  </si>
  <si>
    <t>PRODUÇÃO - ATENÇÃO BÁSICA - UBS JARDIM JAQUELINE ESF 2016</t>
  </si>
  <si>
    <t>EQUIPE MÍNIMA - ATENÇÃO BÁSICA - UBS JARDIM JAQUELINE ESF 2016</t>
  </si>
  <si>
    <t>PRODUÇÃO - AMA/ UBS PAULO VI - MISTA –  2016</t>
  </si>
  <si>
    <t>PRODUÇÃO - AMA/ UBS SÃO JORGE - MISTA – 2016</t>
  </si>
  <si>
    <t>EQUIPE MÍNIMA - AMA/ UBS SÃO JORGE - MISTA – 2016</t>
  </si>
  <si>
    <t xml:space="preserve">PRODUÇÃO -  UBS VILA DALVA – MISTA - 2016  </t>
  </si>
  <si>
    <t>PRODUÇÃO - AMA/ UBS VILA SONIA - TRADICIONAL –  2016</t>
  </si>
  <si>
    <t>EQUIPE MÍNIMA - AMA/ UBS VILA SONIA - TRADICIONAL – 2016</t>
  </si>
  <si>
    <t>PRODUÇÃO - UBS JARDIM BOA VISTA - MISTA – 2016</t>
  </si>
  <si>
    <t>PRODUÇÃO - UBS MALTA CARDOSO - MISTA –  2016</t>
  </si>
  <si>
    <t>Médico Generalista - Saúde Indígena (40h)</t>
  </si>
  <si>
    <t>Agente Indígena de Saúde (40h)</t>
  </si>
  <si>
    <t>Enfermeiro Saúde Indígena (40h)</t>
  </si>
  <si>
    <t>EQUIPE MINÍMA -  ATENÇÃO BÁSICA - UBS PAULO VI - NASF  –  2016</t>
  </si>
  <si>
    <t>EQUIPE MINÍMA - UBS PAULO VI - MISTA –  2016</t>
  </si>
  <si>
    <t>Fonoaudióloga (40h)</t>
  </si>
  <si>
    <t>Ginecologista (20h)</t>
  </si>
  <si>
    <t>PRODUÇÃO - PAI/UBS BUTANTA – 2016</t>
  </si>
  <si>
    <t>Enfermeiro (consulta e VD)</t>
  </si>
  <si>
    <t>Assistente Social (Sup de equipe)</t>
  </si>
  <si>
    <t>Acompanhante de Idosos</t>
  </si>
  <si>
    <t>Médico Geriatra ou Clínico (Esp Gerontologia)</t>
  </si>
  <si>
    <t>Assistente Social (40h)</t>
  </si>
  <si>
    <t>Aux/m Técnico de Enfermagem (40h)</t>
  </si>
  <si>
    <t>Acompanhante de Idosos (40h)</t>
  </si>
  <si>
    <t>Médico Geriatra ou Clínico (20h)</t>
  </si>
  <si>
    <t>Aux/Técnico de Enfermagem (procedimentos)</t>
  </si>
  <si>
    <r>
      <t xml:space="preserve">                  </t>
    </r>
    <r>
      <rPr>
        <b/>
        <sz val="12"/>
        <color indexed="8"/>
        <rFont val="Trebuchet MS"/>
        <family val="2"/>
      </rPr>
      <t>REDE ASSISTENCIAL DA STS  BUTANTÃ  - ANO 2016</t>
    </r>
  </si>
  <si>
    <t>Contrato de Gestão: REDE ASSISTENCIAL DA STS VILA BUTANTÃ - ANO 2016</t>
  </si>
  <si>
    <t>REDE ASSISTENCIAL DA STS  BUTANTÃ  - ANO 2016</t>
  </si>
  <si>
    <t>Contrato de Gestão: REDE ASSISTENCIAL DA STS VILA BUTANTÃ - ANO 2015/2016</t>
  </si>
  <si>
    <t>PRODUÇÃO - SERVIÇOS CIRÚRGICOS  DO HD - REDE HORA CERTA – 2016</t>
  </si>
  <si>
    <t>Cirurgia Geral (consulta)</t>
  </si>
  <si>
    <t>Cirurgia Vascular (consulta)</t>
  </si>
  <si>
    <t>Oftalmologia (consulta)</t>
  </si>
  <si>
    <t>Ortopedia (consulta)</t>
  </si>
  <si>
    <t>Otorrinolaringologia (consulta)</t>
  </si>
  <si>
    <t>Proctologia (consulta)</t>
  </si>
  <si>
    <t>Urologia (consulta)</t>
  </si>
  <si>
    <t>Cirurgia</t>
  </si>
  <si>
    <t>PRODUÇÃO - SERVIÇOS DE APOIO MDIAGNÓSTICO E TERAPÊUTICO - VILA SONIA - 2016</t>
  </si>
  <si>
    <t>Ultrassom Geral</t>
  </si>
  <si>
    <t>Ecocardiograma</t>
  </si>
  <si>
    <t>Eletrocardiograma</t>
  </si>
  <si>
    <t>Holter</t>
  </si>
  <si>
    <t>Mapa</t>
  </si>
  <si>
    <t>Teste Ergométrico</t>
  </si>
  <si>
    <t>Colonoscopia</t>
  </si>
  <si>
    <t>Endoscopia Digestiva Alta</t>
  </si>
  <si>
    <t>Avaliação Urodinâmica Completa</t>
  </si>
  <si>
    <t>Nasofibroscopia</t>
  </si>
  <si>
    <t>US Doppler Vascular</t>
  </si>
  <si>
    <t>Mamografia com Laudo</t>
  </si>
  <si>
    <t>Ultrassom Geral com Laudo</t>
  </si>
  <si>
    <t>JUL</t>
  </si>
  <si>
    <t>AGO</t>
  </si>
  <si>
    <t>1 Trimestre</t>
  </si>
  <si>
    <t>Saldo 1 Trimestre</t>
  </si>
  <si>
    <t>EQUIPE MINIMA - AMA SÃO JORGE – 2016</t>
  </si>
  <si>
    <t>ESF/MISTA</t>
  </si>
  <si>
    <t>Psiquiatra (consulta) (20h) UBS</t>
  </si>
  <si>
    <t>EQUIPE MINIMA - AMA PAULO VI – 2016</t>
  </si>
  <si>
    <t>EQUIPE MINIMA - AMA VILA SONIA– 2016</t>
  </si>
  <si>
    <t>Pediatra (Diarista) (30h)</t>
  </si>
  <si>
    <t>Cirurgião Dentista (24hs)</t>
  </si>
  <si>
    <t>Clínico Geral (Diarista) (30h)</t>
  </si>
  <si>
    <t>Pediatra (12hs)</t>
  </si>
  <si>
    <t>Clínico Geral (12hs)</t>
  </si>
  <si>
    <t>Clínica Cirúgica (12hs)</t>
  </si>
  <si>
    <t>PRODUÇÃO - UBS SÃO REMO - MISTA – 2016</t>
  </si>
  <si>
    <t>EQUIPE MINÍMA -  UBS SÃO REMO –  MISTA - 2016</t>
  </si>
  <si>
    <t>ACS (40hs)</t>
  </si>
  <si>
    <t>Médico Generalista (40hs)</t>
  </si>
  <si>
    <t>Enfermeiro - ESF (40hs)</t>
  </si>
  <si>
    <t>Clínico Geral (20hs)</t>
  </si>
  <si>
    <t>Tocoginecologista (20hs)</t>
  </si>
  <si>
    <t>Pediatra (20hs)</t>
  </si>
  <si>
    <t>Psiquiatra (20hs)</t>
  </si>
  <si>
    <t>Cirurgião Dentista II (atendimento individual)</t>
  </si>
  <si>
    <t>Cirurgião Dentista II (procedimeto individual)</t>
  </si>
  <si>
    <t>Cirurgião Dentista (atendimento i ndividual)</t>
  </si>
  <si>
    <t>Cirurgião Dentista (prodecimento individual)</t>
  </si>
  <si>
    <t>Cirurgião Dentista II (40hs)</t>
  </si>
  <si>
    <t>Cirurgião Dentista (20hs)</t>
  </si>
  <si>
    <t>Assistente Social (30hs)</t>
  </si>
  <si>
    <t>Enfermeiro (40hs)</t>
  </si>
  <si>
    <t>Fisioterapeuta (30hs)</t>
  </si>
  <si>
    <t>Terapeuta Ocupacional (20h)</t>
  </si>
  <si>
    <t>Clinico Geral (consulta) (20h) UBS</t>
  </si>
  <si>
    <t>Ortopedia (12hs)</t>
  </si>
  <si>
    <t>Clínico Cirurgica - (12hs)</t>
  </si>
  <si>
    <t xml:space="preserve">Pediatra (12hs) </t>
  </si>
  <si>
    <t xml:space="preserve">Clínica Médica (12hs) </t>
  </si>
  <si>
    <t>Médico Clínico (12hs)</t>
  </si>
  <si>
    <t>Terapeuta Ocupacional (30hs) UBS</t>
  </si>
  <si>
    <t>Nutricionista (40hs) UBS</t>
  </si>
  <si>
    <t>Fonoaudiologo (40hs) UBS</t>
  </si>
  <si>
    <t>Psicólogo (40hs) UBS</t>
  </si>
  <si>
    <t>Fisioterapeuta (30hs) UBS</t>
  </si>
  <si>
    <t>Enfermeiro (40hs) UBS</t>
  </si>
  <si>
    <t>Assistente Social (30hs) UBS</t>
  </si>
  <si>
    <t>Tocoginecologista (20hs) UBS</t>
  </si>
  <si>
    <t>Psiquiatra (20hs) UBS</t>
  </si>
  <si>
    <t>Pediatra (20hs) UBS</t>
  </si>
  <si>
    <t>Clinico (20hs) UBS</t>
  </si>
  <si>
    <t>Cirurgião Dentista (20hs) UBS</t>
  </si>
  <si>
    <t>Cirurgião Dentista (40hs) ESB</t>
  </si>
  <si>
    <t xml:space="preserve">Enfermeiro - ESF (40hs) </t>
  </si>
  <si>
    <t>Médico Generelista ESF (40hs)</t>
  </si>
  <si>
    <t>ACS  - ESF (40hs)</t>
  </si>
  <si>
    <t>Assistente Social (30hs) NASF</t>
  </si>
  <si>
    <t>Fisioterapeuta (20hs) NASF</t>
  </si>
  <si>
    <t>Psiquiatra (20hs) NASF</t>
  </si>
  <si>
    <t>Nutricionista (40hs) NASF</t>
  </si>
  <si>
    <t>Psicólogo (40hs) NASF</t>
  </si>
  <si>
    <t>Terapeuta Ocupacional (20hs) NASF</t>
  </si>
  <si>
    <t>Fonoaudiólogo (40hs) NASF</t>
  </si>
  <si>
    <t>Pediatra (20hss) UBS</t>
  </si>
  <si>
    <t>PRODUÇÃO - PAI/ UBS BUTANTA – 2016</t>
  </si>
  <si>
    <t>Atendimento de Urgencia</t>
  </si>
  <si>
    <t>Atendimento Com Observação</t>
  </si>
  <si>
    <t>PRODUÇÃO - PSM BANDEIRANTES - DR CAETANO VIRGILIO NERRO -  2016</t>
  </si>
  <si>
    <t>EQUIPE MÍNIMA - PSM BANDEIRANTES - DR CAETANO VIRGILIO NERRO -  2016</t>
  </si>
  <si>
    <t>Dermatologia - (consulta)</t>
  </si>
  <si>
    <t>PRODUÇÃO - SERVIÇOS DE APOIO MDIAGNÓSTICO E TERAPÊUTICO - HD HORA CERTA - 2016</t>
  </si>
  <si>
    <t>MATRIZ DE INDICADORES DE QUALIDADE - 2016</t>
  </si>
  <si>
    <t>Atendimento com remoção</t>
  </si>
  <si>
    <t>PRODUÇÃO - PSM BANDEIRANTES - DR CAETANO VIRGILIO NETTO -  2016</t>
  </si>
  <si>
    <t>s/ meta</t>
  </si>
  <si>
    <t>* Durante o período a unidade estava em processo de implantação</t>
  </si>
  <si>
    <t>TOTAL DE IDOSOS EM ACOMPANHAMENTO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</si>
</sst>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#,##0_ ;[Red]\-#,##0\ "/>
    <numFmt numFmtId="168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Trebuchet MS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51"/>
      </patternFill>
    </fill>
    <fill>
      <patternFill patternType="solid">
        <fgColor theme="0" tint="-0.499984740745262"/>
        <bgColor indexed="64"/>
      </patternFill>
    </fill>
  </fills>
  <borders count="166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medium">
        <color indexed="64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/>
      <bottom/>
      <diagonal/>
    </border>
    <border>
      <left style="thin">
        <color indexed="58"/>
      </left>
      <right/>
      <top/>
      <bottom/>
      <diagonal/>
    </border>
    <border>
      <left/>
      <right style="thin">
        <color indexed="58"/>
      </right>
      <top/>
      <bottom style="medium">
        <color auto="1"/>
      </bottom>
      <diagonal/>
    </border>
    <border>
      <left style="thin">
        <color indexed="58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/>
      <top style="double">
        <color indexed="64"/>
      </top>
      <bottom/>
      <diagonal/>
    </border>
    <border>
      <left/>
      <right style="thin">
        <color indexed="58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647">
    <xf numFmtId="0" fontId="0" fillId="0" borderId="0" xfId="0"/>
    <xf numFmtId="0" fontId="4" fillId="0" borderId="1" xfId="1" applyFont="1" applyBorder="1" applyAlignment="1">
      <alignment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Border="1" applyAlignment="1" applyProtection="1">
      <alignment horizontal="center" vertical="center" wrapText="1"/>
      <protection locked="0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6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10" fillId="0" borderId="0" xfId="4"/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/>
    <xf numFmtId="164" fontId="8" fillId="3" borderId="3" xfId="1" applyNumberFormat="1" applyFont="1" applyFill="1" applyBorder="1" applyAlignment="1">
      <alignment horizontal="center" vertical="center" wrapText="1"/>
    </xf>
    <xf numFmtId="164" fontId="8" fillId="7" borderId="3" xfId="1" applyNumberFormat="1" applyFont="1" applyFill="1" applyBorder="1" applyAlignment="1">
      <alignment horizontal="center" vertical="center" wrapText="1"/>
    </xf>
    <xf numFmtId="164" fontId="8" fillId="7" borderId="7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8" fillId="9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/>
    <xf numFmtId="164" fontId="8" fillId="3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13" borderId="0" xfId="0" applyFont="1" applyFill="1"/>
    <xf numFmtId="3" fontId="3" fillId="2" borderId="7" xfId="1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8" fillId="3" borderId="10" xfId="1" applyNumberFormat="1" applyFont="1" applyFill="1" applyBorder="1" applyAlignment="1">
      <alignment horizontal="center" vertical="center" wrapText="1"/>
    </xf>
    <xf numFmtId="164" fontId="8" fillId="7" borderId="10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14" borderId="10" xfId="0" applyFont="1" applyFill="1" applyBorder="1" applyAlignment="1">
      <alignment vertical="center" wrapText="1"/>
    </xf>
    <xf numFmtId="0" fontId="0" fillId="14" borderId="10" xfId="0" applyFont="1" applyFill="1" applyBorder="1" applyAlignment="1">
      <alignment horizontal="left" vertical="center" wrapText="1"/>
    </xf>
    <xf numFmtId="0" fontId="4" fillId="0" borderId="20" xfId="1" applyFont="1" applyBorder="1" applyAlignment="1">
      <alignment vertical="center"/>
    </xf>
    <xf numFmtId="17" fontId="20" fillId="0" borderId="27" xfId="0" applyNumberFormat="1" applyFont="1" applyBorder="1" applyAlignment="1">
      <alignment horizontal="center" vertical="center" wrapText="1"/>
    </xf>
    <xf numFmtId="17" fontId="20" fillId="0" borderId="28" xfId="0" applyNumberFormat="1" applyFont="1" applyBorder="1" applyAlignment="1">
      <alignment horizontal="center" vertical="center" wrapText="1"/>
    </xf>
    <xf numFmtId="17" fontId="20" fillId="0" borderId="29" xfId="0" applyNumberFormat="1" applyFont="1" applyBorder="1" applyAlignment="1">
      <alignment horizontal="center" vertical="center" wrapText="1"/>
    </xf>
    <xf numFmtId="17" fontId="20" fillId="4" borderId="30" xfId="0" applyNumberFormat="1" applyFont="1" applyFill="1" applyBorder="1" applyAlignment="1">
      <alignment horizontal="center" vertical="center" wrapText="1"/>
    </xf>
    <xf numFmtId="17" fontId="20" fillId="4" borderId="31" xfId="0" applyNumberFormat="1" applyFont="1" applyFill="1" applyBorder="1" applyAlignment="1">
      <alignment horizontal="center" vertical="center" wrapText="1"/>
    </xf>
    <xf numFmtId="0" fontId="18" fillId="0" borderId="12" xfId="0" applyFont="1" applyBorder="1"/>
    <xf numFmtId="164" fontId="6" fillId="3" borderId="7" xfId="1" applyNumberFormat="1" applyFont="1" applyFill="1" applyBorder="1" applyAlignment="1">
      <alignment horizontal="center" vertical="center" wrapText="1"/>
    </xf>
    <xf numFmtId="3" fontId="4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1" applyFont="1" applyBorder="1" applyAlignment="1">
      <alignment vertical="center"/>
    </xf>
    <xf numFmtId="0" fontId="3" fillId="0" borderId="33" xfId="1" applyFont="1" applyBorder="1"/>
    <xf numFmtId="0" fontId="0" fillId="4" borderId="10" xfId="0" applyFont="1" applyFill="1" applyBorder="1" applyAlignment="1">
      <alignment horizontal="left" vertical="center" wrapText="1"/>
    </xf>
    <xf numFmtId="3" fontId="3" fillId="2" borderId="37" xfId="1" applyNumberFormat="1" applyFont="1" applyFill="1" applyBorder="1" applyAlignment="1">
      <alignment horizontal="center" vertical="center" wrapText="1"/>
    </xf>
    <xf numFmtId="3" fontId="4" fillId="4" borderId="37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37" xfId="1" applyNumberFormat="1" applyFont="1" applyBorder="1" applyAlignment="1">
      <alignment horizontal="center" wrapText="1"/>
    </xf>
    <xf numFmtId="0" fontId="4" fillId="0" borderId="38" xfId="1" applyFont="1" applyBorder="1" applyAlignment="1">
      <alignment vertical="center"/>
    </xf>
    <xf numFmtId="0" fontId="3" fillId="0" borderId="41" xfId="1" applyFont="1" applyBorder="1"/>
    <xf numFmtId="3" fontId="3" fillId="2" borderId="40" xfId="1" applyNumberFormat="1" applyFont="1" applyFill="1" applyBorder="1" applyAlignment="1">
      <alignment horizontal="center" vertical="center" wrapText="1"/>
    </xf>
    <xf numFmtId="164" fontId="6" fillId="3" borderId="37" xfId="1" applyNumberFormat="1" applyFont="1" applyFill="1" applyBorder="1" applyAlignment="1">
      <alignment horizontal="center" vertical="center" wrapText="1"/>
    </xf>
    <xf numFmtId="164" fontId="6" fillId="7" borderId="37" xfId="1" applyNumberFormat="1" applyFont="1" applyFill="1" applyBorder="1" applyAlignment="1">
      <alignment horizontal="center" vertical="center" wrapText="1"/>
    </xf>
    <xf numFmtId="3" fontId="4" fillId="0" borderId="42" xfId="1" applyNumberFormat="1" applyFont="1" applyBorder="1" applyAlignment="1" applyProtection="1">
      <alignment horizontal="center" vertical="center" wrapText="1"/>
      <protection locked="0"/>
    </xf>
    <xf numFmtId="0" fontId="3" fillId="8" borderId="43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 wrapText="1"/>
    </xf>
    <xf numFmtId="0" fontId="3" fillId="8" borderId="45" xfId="1" applyFont="1" applyFill="1" applyBorder="1" applyAlignment="1">
      <alignment horizontal="center" vertical="center"/>
    </xf>
    <xf numFmtId="3" fontId="3" fillId="2" borderId="46" xfId="1" applyNumberFormat="1" applyFont="1" applyFill="1" applyBorder="1" applyAlignment="1">
      <alignment horizontal="center" vertical="center" wrapText="1"/>
    </xf>
    <xf numFmtId="0" fontId="3" fillId="8" borderId="47" xfId="1" applyFont="1" applyFill="1" applyBorder="1" applyAlignment="1">
      <alignment horizontal="center" vertical="center"/>
    </xf>
    <xf numFmtId="0" fontId="3" fillId="2" borderId="48" xfId="1" applyFont="1" applyFill="1" applyBorder="1" applyAlignment="1">
      <alignment horizontal="center" vertical="center" wrapText="1"/>
    </xf>
    <xf numFmtId="0" fontId="4" fillId="0" borderId="49" xfId="1" applyFont="1" applyBorder="1" applyAlignment="1">
      <alignment vertical="center"/>
    </xf>
    <xf numFmtId="0" fontId="4" fillId="0" borderId="50" xfId="1" applyFont="1" applyBorder="1" applyAlignment="1">
      <alignment vertical="center"/>
    </xf>
    <xf numFmtId="0" fontId="3" fillId="8" borderId="51" xfId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horizontal="center" vertical="center" wrapText="1"/>
    </xf>
    <xf numFmtId="0" fontId="3" fillId="8" borderId="56" xfId="1" applyFont="1" applyFill="1" applyBorder="1" applyAlignment="1">
      <alignment horizontal="center" vertical="center"/>
    </xf>
    <xf numFmtId="0" fontId="3" fillId="2" borderId="57" xfId="1" applyFont="1" applyFill="1" applyBorder="1" applyAlignment="1">
      <alignment horizontal="center" vertical="center" wrapText="1"/>
    </xf>
    <xf numFmtId="0" fontId="4" fillId="0" borderId="58" xfId="1" applyFont="1" applyBorder="1" applyAlignment="1">
      <alignment vertical="center"/>
    </xf>
    <xf numFmtId="3" fontId="3" fillId="2" borderId="59" xfId="1" applyNumberFormat="1" applyFont="1" applyFill="1" applyBorder="1" applyAlignment="1">
      <alignment horizontal="center" vertical="center" wrapText="1"/>
    </xf>
    <xf numFmtId="3" fontId="4" fillId="0" borderId="59" xfId="1" applyNumberFormat="1" applyFont="1" applyBorder="1" applyAlignment="1" applyProtection="1">
      <alignment horizontal="center" vertical="center" wrapText="1"/>
      <protection locked="0"/>
    </xf>
    <xf numFmtId="0" fontId="4" fillId="0" borderId="60" xfId="1" applyFont="1" applyBorder="1" applyAlignment="1">
      <alignment vertical="center"/>
    </xf>
    <xf numFmtId="3" fontId="3" fillId="2" borderId="61" xfId="1" applyNumberFormat="1" applyFont="1" applyFill="1" applyBorder="1" applyAlignment="1">
      <alignment horizontal="center" vertical="center" wrapText="1"/>
    </xf>
    <xf numFmtId="3" fontId="4" fillId="0" borderId="61" xfId="1" applyNumberFormat="1" applyFont="1" applyBorder="1" applyAlignment="1" applyProtection="1">
      <alignment horizontal="center" vertical="center" wrapText="1"/>
      <protection locked="0"/>
    </xf>
    <xf numFmtId="0" fontId="4" fillId="0" borderId="62" xfId="1" applyFont="1" applyBorder="1" applyAlignment="1">
      <alignment vertical="center"/>
    </xf>
    <xf numFmtId="3" fontId="3" fillId="2" borderId="63" xfId="1" applyNumberFormat="1" applyFont="1" applyFill="1" applyBorder="1" applyAlignment="1">
      <alignment horizontal="center" vertical="center" wrapText="1"/>
    </xf>
    <xf numFmtId="3" fontId="4" fillId="0" borderId="63" xfId="1" applyNumberFormat="1" applyFont="1" applyBorder="1" applyAlignment="1" applyProtection="1">
      <alignment horizontal="center" vertical="center" wrapText="1"/>
      <protection locked="0"/>
    </xf>
    <xf numFmtId="164" fontId="6" fillId="3" borderId="63" xfId="1" applyNumberFormat="1" applyFont="1" applyFill="1" applyBorder="1" applyAlignment="1">
      <alignment horizontal="center" vertical="center" wrapText="1"/>
    </xf>
    <xf numFmtId="0" fontId="3" fillId="8" borderId="64" xfId="1" applyFont="1" applyFill="1" applyBorder="1" applyAlignment="1">
      <alignment horizontal="center" vertical="center"/>
    </xf>
    <xf numFmtId="0" fontId="3" fillId="2" borderId="65" xfId="1" applyFont="1" applyFill="1" applyBorder="1" applyAlignment="1">
      <alignment horizontal="center" vertical="center" wrapText="1"/>
    </xf>
    <xf numFmtId="0" fontId="4" fillId="0" borderId="66" xfId="1" applyFont="1" applyBorder="1" applyAlignment="1">
      <alignment vertical="center"/>
    </xf>
    <xf numFmtId="3" fontId="3" fillId="2" borderId="67" xfId="1" applyNumberFormat="1" applyFont="1" applyFill="1" applyBorder="1" applyAlignment="1">
      <alignment horizontal="center" vertical="center" wrapText="1"/>
    </xf>
    <xf numFmtId="3" fontId="4" fillId="0" borderId="67" xfId="1" applyNumberFormat="1" applyFont="1" applyBorder="1" applyAlignment="1" applyProtection="1">
      <alignment horizontal="center" vertical="center" wrapText="1"/>
      <protection locked="0"/>
    </xf>
    <xf numFmtId="0" fontId="3" fillId="8" borderId="68" xfId="1" applyFont="1" applyFill="1" applyBorder="1" applyAlignment="1">
      <alignment horizontal="center" vertical="center"/>
    </xf>
    <xf numFmtId="0" fontId="3" fillId="2" borderId="69" xfId="1" applyFont="1" applyFill="1" applyBorder="1" applyAlignment="1">
      <alignment horizontal="center" vertical="center" wrapText="1"/>
    </xf>
    <xf numFmtId="0" fontId="4" fillId="0" borderId="70" xfId="1" applyFont="1" applyBorder="1" applyAlignment="1">
      <alignment vertical="center"/>
    </xf>
    <xf numFmtId="3" fontId="3" fillId="2" borderId="71" xfId="1" applyNumberFormat="1" applyFont="1" applyFill="1" applyBorder="1" applyAlignment="1">
      <alignment horizontal="center" vertical="center" wrapText="1"/>
    </xf>
    <xf numFmtId="3" fontId="4" fillId="0" borderId="71" xfId="1" applyNumberFormat="1" applyFont="1" applyBorder="1" applyAlignment="1" applyProtection="1">
      <alignment horizontal="center" vertical="center" wrapText="1"/>
      <protection locked="0"/>
    </xf>
    <xf numFmtId="164" fontId="6" fillId="3" borderId="71" xfId="1" applyNumberFormat="1" applyFont="1" applyFill="1" applyBorder="1" applyAlignment="1">
      <alignment horizontal="center" vertical="center" wrapText="1"/>
    </xf>
    <xf numFmtId="0" fontId="3" fillId="8" borderId="72" xfId="1" applyFont="1" applyFill="1" applyBorder="1" applyAlignment="1">
      <alignment horizontal="center" vertical="center"/>
    </xf>
    <xf numFmtId="0" fontId="3" fillId="2" borderId="73" xfId="1" applyFont="1" applyFill="1" applyBorder="1" applyAlignment="1">
      <alignment horizontal="center" vertical="center" wrapText="1"/>
    </xf>
    <xf numFmtId="0" fontId="3" fillId="8" borderId="74" xfId="1" applyFont="1" applyFill="1" applyBorder="1" applyAlignment="1">
      <alignment horizontal="center" vertical="center"/>
    </xf>
    <xf numFmtId="0" fontId="3" fillId="2" borderId="75" xfId="1" applyFont="1" applyFill="1" applyBorder="1" applyAlignment="1">
      <alignment horizontal="center" vertical="center" wrapText="1"/>
    </xf>
    <xf numFmtId="3" fontId="3" fillId="2" borderId="76" xfId="1" applyNumberFormat="1" applyFont="1" applyFill="1" applyBorder="1" applyAlignment="1">
      <alignment horizontal="center" vertical="center" wrapText="1"/>
    </xf>
    <xf numFmtId="3" fontId="4" fillId="0" borderId="76" xfId="1" applyNumberFormat="1" applyFont="1" applyBorder="1" applyAlignment="1" applyProtection="1">
      <alignment horizontal="center" vertical="center" wrapText="1"/>
      <protection locked="0"/>
    </xf>
    <xf numFmtId="3" fontId="3" fillId="2" borderId="77" xfId="1" applyNumberFormat="1" applyFont="1" applyFill="1" applyBorder="1" applyAlignment="1">
      <alignment horizontal="center" vertical="center" wrapText="1"/>
    </xf>
    <xf numFmtId="3" fontId="4" fillId="0" borderId="77" xfId="1" applyNumberFormat="1" applyFont="1" applyBorder="1" applyAlignment="1" applyProtection="1">
      <alignment horizontal="center" vertical="center" wrapText="1"/>
      <protection locked="0"/>
    </xf>
    <xf numFmtId="3" fontId="3" fillId="2" borderId="78" xfId="1" applyNumberFormat="1" applyFont="1" applyFill="1" applyBorder="1" applyAlignment="1">
      <alignment horizontal="center" vertical="center" wrapText="1"/>
    </xf>
    <xf numFmtId="3" fontId="4" fillId="0" borderId="78" xfId="1" applyNumberFormat="1" applyFont="1" applyBorder="1" applyAlignment="1" applyProtection="1">
      <alignment horizontal="center" vertical="center" wrapText="1"/>
      <protection locked="0"/>
    </xf>
    <xf numFmtId="164" fontId="6" fillId="3" borderId="78" xfId="1" applyNumberFormat="1" applyFont="1" applyFill="1" applyBorder="1" applyAlignment="1">
      <alignment horizontal="center" vertical="center" wrapText="1"/>
    </xf>
    <xf numFmtId="0" fontId="3" fillId="8" borderId="79" xfId="1" applyFont="1" applyFill="1" applyBorder="1" applyAlignment="1">
      <alignment horizontal="center" vertical="center"/>
    </xf>
    <xf numFmtId="0" fontId="3" fillId="2" borderId="80" xfId="1" applyFont="1" applyFill="1" applyBorder="1" applyAlignment="1">
      <alignment horizontal="center" vertical="center" wrapText="1"/>
    </xf>
    <xf numFmtId="0" fontId="4" fillId="0" borderId="81" xfId="1" applyFont="1" applyBorder="1" applyAlignment="1">
      <alignment vertical="center"/>
    </xf>
    <xf numFmtId="3" fontId="3" fillId="2" borderId="82" xfId="1" applyNumberFormat="1" applyFont="1" applyFill="1" applyBorder="1" applyAlignment="1">
      <alignment horizontal="center" vertical="center" wrapText="1"/>
    </xf>
    <xf numFmtId="3" fontId="4" fillId="0" borderId="82" xfId="1" applyNumberFormat="1" applyFont="1" applyBorder="1" applyAlignment="1" applyProtection="1">
      <alignment horizontal="center" vertical="center" wrapText="1"/>
      <protection locked="0"/>
    </xf>
    <xf numFmtId="0" fontId="4" fillId="0" borderId="83" xfId="1" applyFont="1" applyBorder="1" applyAlignment="1">
      <alignment vertical="center"/>
    </xf>
    <xf numFmtId="0" fontId="4" fillId="0" borderId="84" xfId="1" applyFont="1" applyBorder="1" applyAlignment="1">
      <alignment vertical="center"/>
    </xf>
    <xf numFmtId="0" fontId="4" fillId="0" borderId="85" xfId="1" applyFont="1" applyBorder="1" applyAlignment="1">
      <alignment vertical="center"/>
    </xf>
    <xf numFmtId="3" fontId="4" fillId="0" borderId="86" xfId="1" applyNumberFormat="1" applyFont="1" applyBorder="1" applyAlignment="1" applyProtection="1">
      <alignment horizontal="center" vertical="center" wrapText="1"/>
      <protection locked="0"/>
    </xf>
    <xf numFmtId="164" fontId="8" fillId="3" borderId="37" xfId="1" applyNumberFormat="1" applyFont="1" applyFill="1" applyBorder="1" applyAlignment="1">
      <alignment horizontal="center" vertical="center" wrapText="1"/>
    </xf>
    <xf numFmtId="0" fontId="3" fillId="8" borderId="87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 wrapText="1"/>
    </xf>
    <xf numFmtId="0" fontId="3" fillId="8" borderId="88" xfId="1" applyFont="1" applyFill="1" applyBorder="1" applyAlignment="1">
      <alignment horizontal="center" vertical="center"/>
    </xf>
    <xf numFmtId="0" fontId="3" fillId="10" borderId="88" xfId="1" applyFont="1" applyFill="1" applyBorder="1" applyAlignment="1">
      <alignment horizontal="center" vertical="center"/>
    </xf>
    <xf numFmtId="0" fontId="3" fillId="6" borderId="88" xfId="1" applyFont="1" applyFill="1" applyBorder="1" applyAlignment="1">
      <alignment horizontal="center" vertical="center"/>
    </xf>
    <xf numFmtId="0" fontId="4" fillId="0" borderId="89" xfId="1" applyFont="1" applyBorder="1" applyAlignment="1">
      <alignment vertical="center"/>
    </xf>
    <xf numFmtId="164" fontId="6" fillId="9" borderId="37" xfId="1" applyNumberFormat="1" applyFont="1" applyFill="1" applyBorder="1" applyAlignment="1">
      <alignment horizontal="center" vertical="center" wrapText="1"/>
    </xf>
    <xf numFmtId="165" fontId="10" fillId="12" borderId="92" xfId="4" applyNumberFormat="1" applyFill="1" applyBorder="1" applyAlignment="1">
      <alignment horizontal="left" vertical="center"/>
    </xf>
    <xf numFmtId="165" fontId="10" fillId="11" borderId="92" xfId="4" applyNumberFormat="1" applyFill="1" applyBorder="1" applyAlignment="1">
      <alignment horizontal="left" vertical="center"/>
    </xf>
    <xf numFmtId="165" fontId="12" fillId="12" borderId="94" xfId="4" applyNumberFormat="1" applyFont="1" applyFill="1" applyBorder="1" applyAlignment="1">
      <alignment horizontal="left" vertical="center"/>
    </xf>
    <xf numFmtId="164" fontId="6" fillId="3" borderId="7" xfId="1" applyNumberFormat="1" applyFont="1" applyFill="1" applyBorder="1" applyAlignment="1">
      <alignment horizontal="center" vertical="center" wrapText="1"/>
    </xf>
    <xf numFmtId="3" fontId="4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7" xfId="1" applyNumberFormat="1" applyFont="1" applyFill="1" applyBorder="1" applyAlignment="1">
      <alignment horizontal="center" vertical="center" wrapText="1"/>
    </xf>
    <xf numFmtId="164" fontId="6" fillId="7" borderId="40" xfId="1" applyNumberFormat="1" applyFont="1" applyFill="1" applyBorder="1" applyAlignment="1">
      <alignment horizontal="center" vertical="center" wrapText="1"/>
    </xf>
    <xf numFmtId="0" fontId="22" fillId="0" borderId="95" xfId="4" applyFont="1" applyBorder="1" applyAlignment="1">
      <alignment vertical="center"/>
    </xf>
    <xf numFmtId="17" fontId="22" fillId="0" borderId="96" xfId="4" applyNumberFormat="1" applyFont="1" applyBorder="1" applyAlignment="1">
      <alignment horizontal="center" vertical="center" wrapText="1"/>
    </xf>
    <xf numFmtId="17" fontId="22" fillId="0" borderId="96" xfId="4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0" borderId="96" xfId="4" applyFont="1" applyBorder="1" applyAlignment="1">
      <alignment horizontal="left" vertical="center" wrapText="1"/>
    </xf>
    <xf numFmtId="0" fontId="23" fillId="4" borderId="96" xfId="4" applyFont="1" applyFill="1" applyBorder="1" applyAlignment="1">
      <alignment horizontal="left" vertical="center"/>
    </xf>
    <xf numFmtId="165" fontId="23" fillId="4" borderId="96" xfId="4" applyNumberFormat="1" applyFont="1" applyFill="1" applyBorder="1" applyAlignment="1">
      <alignment horizontal="left" vertical="center"/>
    </xf>
    <xf numFmtId="3" fontId="23" fillId="0" borderId="96" xfId="0" applyNumberFormat="1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96" xfId="4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23" fillId="4" borderId="96" xfId="0" applyFont="1" applyFill="1" applyBorder="1" applyAlignment="1">
      <alignment horizontal="center" vertical="center"/>
    </xf>
    <xf numFmtId="165" fontId="23" fillId="4" borderId="96" xfId="5" applyNumberFormat="1" applyFont="1" applyFill="1" applyBorder="1" applyAlignment="1">
      <alignment horizontal="left" vertical="center"/>
    </xf>
    <xf numFmtId="0" fontId="23" fillId="4" borderId="96" xfId="0" applyFont="1" applyFill="1" applyBorder="1"/>
    <xf numFmtId="0" fontId="23" fillId="0" borderId="0" xfId="0" applyFont="1" applyAlignment="1">
      <alignment horizontal="center" vertical="center"/>
    </xf>
    <xf numFmtId="165" fontId="23" fillId="4" borderId="95" xfId="4" applyNumberFormat="1" applyFont="1" applyFill="1" applyBorder="1" applyAlignment="1">
      <alignment horizontal="left" vertical="center"/>
    </xf>
    <xf numFmtId="0" fontId="23" fillId="4" borderId="95" xfId="4" applyFont="1" applyFill="1" applyBorder="1" applyAlignment="1">
      <alignment horizontal="left" vertical="center"/>
    </xf>
    <xf numFmtId="0" fontId="23" fillId="0" borderId="95" xfId="0" applyFont="1" applyBorder="1" applyAlignment="1">
      <alignment horizontal="center" vertical="center"/>
    </xf>
    <xf numFmtId="0" fontId="23" fillId="4" borderId="95" xfId="0" applyFont="1" applyFill="1" applyBorder="1"/>
    <xf numFmtId="0" fontId="22" fillId="0" borderId="96" xfId="4" applyFont="1" applyBorder="1" applyAlignment="1">
      <alignment horizontal="left" vertical="center" wrapText="1"/>
    </xf>
    <xf numFmtId="0" fontId="22" fillId="0" borderId="96" xfId="4" applyFont="1" applyFill="1" applyBorder="1" applyAlignment="1">
      <alignment horizontal="left" vertical="center"/>
    </xf>
    <xf numFmtId="165" fontId="22" fillId="0" borderId="96" xfId="4" applyNumberFormat="1" applyFont="1" applyFill="1" applyBorder="1" applyAlignment="1">
      <alignment horizontal="left" vertical="center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17" fillId="0" borderId="0" xfId="0" applyFont="1" applyFill="1" applyBorder="1"/>
    <xf numFmtId="0" fontId="22" fillId="0" borderId="98" xfId="4" applyFont="1" applyBorder="1" applyAlignment="1">
      <alignment vertical="center"/>
    </xf>
    <xf numFmtId="17" fontId="22" fillId="0" borderId="15" xfId="4" applyNumberFormat="1" applyFont="1" applyBorder="1" applyAlignment="1">
      <alignment horizontal="center" vertical="center"/>
    </xf>
    <xf numFmtId="17" fontId="22" fillId="0" borderId="15" xfId="4" applyNumberFormat="1" applyFont="1" applyBorder="1" applyAlignment="1">
      <alignment horizontal="center" vertical="center" wrapText="1"/>
    </xf>
    <xf numFmtId="17" fontId="22" fillId="0" borderId="16" xfId="4" applyNumberFormat="1" applyFont="1" applyBorder="1" applyAlignment="1">
      <alignment horizontal="center" vertical="center"/>
    </xf>
    <xf numFmtId="0" fontId="23" fillId="0" borderId="89" xfId="4" applyFont="1" applyBorder="1" applyAlignment="1">
      <alignment horizontal="left" vertical="center" wrapText="1"/>
    </xf>
    <xf numFmtId="3" fontId="23" fillId="0" borderId="96" xfId="4" applyNumberFormat="1" applyFont="1" applyFill="1" applyBorder="1" applyAlignment="1">
      <alignment horizontal="center" vertical="center"/>
    </xf>
    <xf numFmtId="9" fontId="0" fillId="0" borderId="92" xfId="0" applyNumberForma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0" fillId="0" borderId="92" xfId="0" applyBorder="1" applyAlignment="1">
      <alignment horizontal="center" vertical="center" wrapText="1"/>
    </xf>
    <xf numFmtId="0" fontId="22" fillId="0" borderId="93" xfId="4" applyFont="1" applyBorder="1" applyAlignment="1">
      <alignment horizontal="left" vertical="center" wrapText="1"/>
    </xf>
    <xf numFmtId="3" fontId="23" fillId="0" borderId="91" xfId="4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0" fillId="0" borderId="101" xfId="4" applyBorder="1" applyAlignment="1">
      <alignment horizontal="left" vertical="center" wrapText="1"/>
    </xf>
    <xf numFmtId="0" fontId="10" fillId="0" borderId="103" xfId="4" applyBorder="1" applyAlignment="1">
      <alignment horizontal="left" vertical="center" wrapText="1"/>
    </xf>
    <xf numFmtId="0" fontId="12" fillId="0" borderId="104" xfId="4" applyFont="1" applyBorder="1" applyAlignment="1">
      <alignment horizontal="left" vertical="center" wrapText="1"/>
    </xf>
    <xf numFmtId="0" fontId="10" fillId="11" borderId="39" xfId="4" applyFill="1" applyBorder="1" applyAlignment="1">
      <alignment horizontal="left" vertical="center"/>
    </xf>
    <xf numFmtId="165" fontId="10" fillId="11" borderId="105" xfId="4" applyNumberFormat="1" applyFill="1" applyBorder="1" applyAlignment="1">
      <alignment horizontal="left" vertical="center"/>
    </xf>
    <xf numFmtId="0" fontId="10" fillId="11" borderId="89" xfId="4" applyFill="1" applyBorder="1" applyAlignment="1">
      <alignment horizontal="left" vertical="center"/>
    </xf>
    <xf numFmtId="0" fontId="12" fillId="11" borderId="93" xfId="4" applyFont="1" applyFill="1" applyBorder="1" applyAlignment="1">
      <alignment horizontal="left" vertical="center"/>
    </xf>
    <xf numFmtId="165" fontId="12" fillId="11" borderId="94" xfId="4" applyNumberFormat="1" applyFont="1" applyFill="1" applyBorder="1" applyAlignment="1">
      <alignment horizontal="left" vertical="center"/>
    </xf>
    <xf numFmtId="0" fontId="10" fillId="0" borderId="39" xfId="4" applyFill="1" applyBorder="1" applyAlignment="1">
      <alignment horizontal="left" vertical="center"/>
    </xf>
    <xf numFmtId="165" fontId="0" fillId="12" borderId="105" xfId="5" applyNumberFormat="1" applyFont="1" applyFill="1" applyBorder="1" applyAlignment="1">
      <alignment horizontal="left" vertical="center"/>
    </xf>
    <xf numFmtId="0" fontId="10" fillId="0" borderId="89" xfId="4" applyFill="1" applyBorder="1" applyAlignment="1">
      <alignment horizontal="left" vertical="center"/>
    </xf>
    <xf numFmtId="165" fontId="0" fillId="12" borderId="92" xfId="5" applyNumberFormat="1" applyFont="1" applyFill="1" applyBorder="1" applyAlignment="1">
      <alignment horizontal="left" vertical="center"/>
    </xf>
    <xf numFmtId="165" fontId="0" fillId="11" borderId="92" xfId="5" applyNumberFormat="1" applyFont="1" applyFill="1" applyBorder="1" applyAlignment="1">
      <alignment horizontal="left" vertical="center"/>
    </xf>
    <xf numFmtId="165" fontId="12" fillId="12" borderId="94" xfId="5" applyNumberFormat="1" applyFont="1" applyFill="1" applyBorder="1" applyAlignment="1">
      <alignment horizontal="left" vertical="center"/>
    </xf>
    <xf numFmtId="165" fontId="10" fillId="12" borderId="105" xfId="4" applyNumberFormat="1" applyFill="1" applyBorder="1" applyAlignment="1">
      <alignment horizontal="left" vertical="center"/>
    </xf>
    <xf numFmtId="0" fontId="12" fillId="0" borderId="30" xfId="4" applyFont="1" applyBorder="1" applyAlignment="1">
      <alignment horizontal="center" vertical="center" wrapText="1"/>
    </xf>
    <xf numFmtId="0" fontId="12" fillId="0" borderId="31" xfId="4" applyFont="1" applyBorder="1" applyAlignment="1">
      <alignment horizontal="center" vertical="center"/>
    </xf>
    <xf numFmtId="0" fontId="10" fillId="13" borderId="89" xfId="4" applyFill="1" applyBorder="1" applyAlignment="1">
      <alignment horizontal="left" vertical="center"/>
    </xf>
    <xf numFmtId="165" fontId="0" fillId="11" borderId="105" xfId="5" applyNumberFormat="1" applyFont="1" applyFill="1" applyBorder="1" applyAlignment="1">
      <alignment horizontal="left" vertical="center"/>
    </xf>
    <xf numFmtId="0" fontId="10" fillId="13" borderId="39" xfId="4" applyFill="1" applyBorder="1" applyAlignment="1">
      <alignment horizontal="left" vertical="center"/>
    </xf>
    <xf numFmtId="164" fontId="6" fillId="7" borderId="112" xfId="1" applyNumberFormat="1" applyFont="1" applyFill="1" applyBorder="1" applyAlignment="1">
      <alignment horizontal="center" vertical="center" wrapText="1"/>
    </xf>
    <xf numFmtId="164" fontId="6" fillId="7" borderId="113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17" fontId="20" fillId="0" borderId="96" xfId="0" applyNumberFormat="1" applyFont="1" applyBorder="1" applyAlignment="1">
      <alignment horizontal="center" vertical="center" wrapText="1"/>
    </xf>
    <xf numFmtId="17" fontId="20" fillId="4" borderId="96" xfId="0" applyNumberFormat="1" applyFont="1" applyFill="1" applyBorder="1" applyAlignment="1">
      <alignment horizontal="center" vertical="center" wrapText="1"/>
    </xf>
    <xf numFmtId="0" fontId="4" fillId="13" borderId="101" xfId="1" applyFont="1" applyFill="1" applyBorder="1" applyAlignment="1">
      <alignment vertical="center"/>
    </xf>
    <xf numFmtId="0" fontId="4" fillId="13" borderId="103" xfId="1" applyFont="1" applyFill="1" applyBorder="1" applyAlignment="1">
      <alignment vertical="center"/>
    </xf>
    <xf numFmtId="0" fontId="4" fillId="13" borderId="104" xfId="1" applyFont="1" applyFill="1" applyBorder="1" applyAlignment="1">
      <alignment vertical="center"/>
    </xf>
    <xf numFmtId="0" fontId="4" fillId="0" borderId="103" xfId="1" applyFont="1" applyBorder="1" applyAlignment="1">
      <alignment vertical="center"/>
    </xf>
    <xf numFmtId="0" fontId="4" fillId="0" borderId="104" xfId="1" applyFont="1" applyBorder="1" applyAlignment="1">
      <alignment vertical="center"/>
    </xf>
    <xf numFmtId="17" fontId="20" fillId="0" borderId="13" xfId="0" applyNumberFormat="1" applyFont="1" applyBorder="1" applyAlignment="1">
      <alignment horizontal="center" vertical="center" wrapText="1"/>
    </xf>
    <xf numFmtId="164" fontId="6" fillId="7" borderId="7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3" fontId="4" fillId="0" borderId="121" xfId="1" applyNumberFormat="1" applyFont="1" applyBorder="1" applyAlignment="1" applyProtection="1">
      <alignment horizontal="center" vertical="center" wrapText="1"/>
      <protection locked="0"/>
    </xf>
    <xf numFmtId="166" fontId="4" fillId="0" borderId="76" xfId="1" applyNumberFormat="1" applyFont="1" applyBorder="1" applyAlignment="1" applyProtection="1">
      <alignment horizontal="center" vertical="center" wrapText="1"/>
      <protection locked="0"/>
    </xf>
    <xf numFmtId="0" fontId="4" fillId="0" borderId="42" xfId="1" applyFont="1" applyBorder="1" applyAlignment="1">
      <alignment vertical="center"/>
    </xf>
    <xf numFmtId="3" fontId="4" fillId="2" borderId="42" xfId="1" applyNumberFormat="1" applyFont="1" applyFill="1" applyBorder="1" applyAlignment="1">
      <alignment horizontal="center" vertical="center" wrapText="1"/>
    </xf>
    <xf numFmtId="164" fontId="6" fillId="3" borderId="121" xfId="1" applyNumberFormat="1" applyFont="1" applyFill="1" applyBorder="1" applyAlignment="1">
      <alignment horizontal="center" vertical="center" wrapText="1"/>
    </xf>
    <xf numFmtId="3" fontId="4" fillId="4" borderId="121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21" xfId="1" applyNumberFormat="1" applyFont="1" applyFill="1" applyBorder="1" applyAlignment="1">
      <alignment horizontal="center" vertical="center" wrapText="1"/>
    </xf>
    <xf numFmtId="0" fontId="4" fillId="0" borderId="121" xfId="1" applyFont="1" applyBorder="1" applyAlignment="1">
      <alignment vertical="center"/>
    </xf>
    <xf numFmtId="0" fontId="4" fillId="0" borderId="76" xfId="1" applyFont="1" applyFill="1" applyBorder="1" applyAlignment="1">
      <alignment vertical="center"/>
    </xf>
    <xf numFmtId="0" fontId="4" fillId="0" borderId="76" xfId="1" applyFont="1" applyBorder="1" applyAlignment="1">
      <alignment vertical="center"/>
    </xf>
    <xf numFmtId="0" fontId="4" fillId="0" borderId="123" xfId="1" applyFont="1" applyBorder="1" applyAlignment="1">
      <alignment vertical="center"/>
    </xf>
    <xf numFmtId="3" fontId="25" fillId="2" borderId="76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167" fontId="17" fillId="0" borderId="116" xfId="0" applyNumberFormat="1" applyFont="1" applyBorder="1" applyAlignment="1">
      <alignment horizontal="center" vertical="center"/>
    </xf>
    <xf numFmtId="3" fontId="0" fillId="0" borderId="116" xfId="0" applyNumberFormat="1" applyBorder="1" applyAlignment="1">
      <alignment horizontal="center" vertical="center"/>
    </xf>
    <xf numFmtId="167" fontId="17" fillId="0" borderId="117" xfId="0" applyNumberFormat="1" applyFont="1" applyBorder="1" applyAlignment="1">
      <alignment horizontal="center" vertical="center"/>
    </xf>
    <xf numFmtId="3" fontId="17" fillId="4" borderId="17" xfId="0" applyNumberFormat="1" applyFont="1" applyFill="1" applyBorder="1" applyAlignment="1">
      <alignment horizontal="center" vertical="center"/>
    </xf>
    <xf numFmtId="3" fontId="24" fillId="4" borderId="17" xfId="0" applyNumberFormat="1" applyFont="1" applyFill="1" applyBorder="1" applyAlignment="1">
      <alignment horizontal="center" vertical="center"/>
    </xf>
    <xf numFmtId="167" fontId="17" fillId="0" borderId="111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24" fillId="4" borderId="24" xfId="0" applyNumberFormat="1" applyFont="1" applyFill="1" applyBorder="1" applyAlignment="1">
      <alignment horizontal="center" vertical="center"/>
    </xf>
    <xf numFmtId="3" fontId="17" fillId="0" borderId="118" xfId="0" applyNumberFormat="1" applyFont="1" applyBorder="1" applyAlignment="1">
      <alignment horizontal="center" vertical="center"/>
    </xf>
    <xf numFmtId="167" fontId="17" fillId="0" borderId="96" xfId="0" applyNumberFormat="1" applyFont="1" applyBorder="1" applyAlignment="1">
      <alignment horizontal="center" vertical="center"/>
    </xf>
    <xf numFmtId="3" fontId="0" fillId="0" borderId="96" xfId="0" applyNumberFormat="1" applyBorder="1" applyAlignment="1">
      <alignment horizontal="center" vertical="center"/>
    </xf>
    <xf numFmtId="167" fontId="17" fillId="0" borderId="100" xfId="0" applyNumberFormat="1" applyFont="1" applyBorder="1" applyAlignment="1">
      <alignment horizontal="center" vertical="center"/>
    </xf>
    <xf numFmtId="3" fontId="17" fillId="4" borderId="89" xfId="0" applyNumberFormat="1" applyFont="1" applyFill="1" applyBorder="1" applyAlignment="1">
      <alignment horizontal="center" vertical="center"/>
    </xf>
    <xf numFmtId="3" fontId="24" fillId="4" borderId="89" xfId="0" applyNumberFormat="1" applyFont="1" applyFill="1" applyBorder="1" applyAlignment="1">
      <alignment horizontal="center" vertical="center"/>
    </xf>
    <xf numFmtId="3" fontId="24" fillId="4" borderId="118" xfId="0" applyNumberFormat="1" applyFont="1" applyFill="1" applyBorder="1" applyAlignment="1">
      <alignment horizontal="center" vertical="center"/>
    </xf>
    <xf numFmtId="3" fontId="17" fillId="0" borderId="119" xfId="0" applyNumberFormat="1" applyFont="1" applyBorder="1" applyAlignment="1">
      <alignment horizontal="center" vertical="center"/>
    </xf>
    <xf numFmtId="167" fontId="17" fillId="0" borderId="114" xfId="0" applyNumberFormat="1" applyFont="1" applyBorder="1" applyAlignment="1">
      <alignment horizontal="center" vertical="center"/>
    </xf>
    <xf numFmtId="3" fontId="0" fillId="0" borderId="114" xfId="0" applyNumberFormat="1" applyBorder="1" applyAlignment="1">
      <alignment horizontal="center" vertical="center"/>
    </xf>
    <xf numFmtId="167" fontId="17" fillId="0" borderId="120" xfId="0" applyNumberFormat="1" applyFont="1" applyBorder="1" applyAlignment="1">
      <alignment horizontal="center" vertical="center"/>
    </xf>
    <xf numFmtId="3" fontId="17" fillId="4" borderId="93" xfId="0" applyNumberFormat="1" applyFont="1" applyFill="1" applyBorder="1" applyAlignment="1">
      <alignment horizontal="center" vertical="center"/>
    </xf>
    <xf numFmtId="3" fontId="24" fillId="4" borderId="93" xfId="0" applyNumberFormat="1" applyFont="1" applyFill="1" applyBorder="1" applyAlignment="1">
      <alignment horizontal="center" vertical="center"/>
    </xf>
    <xf numFmtId="3" fontId="24" fillId="4" borderId="119" xfId="0" applyNumberFormat="1" applyFont="1" applyFill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167" fontId="17" fillId="0" borderId="28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167" fontId="17" fillId="0" borderId="29" xfId="0" applyNumberFormat="1" applyFont="1" applyBorder="1" applyAlignment="1">
      <alignment horizontal="center" vertical="center"/>
    </xf>
    <xf numFmtId="3" fontId="17" fillId="4" borderId="30" xfId="0" applyNumberFormat="1" applyFont="1" applyFill="1" applyBorder="1" applyAlignment="1">
      <alignment horizontal="center" vertical="center"/>
    </xf>
    <xf numFmtId="3" fontId="24" fillId="4" borderId="30" xfId="0" applyNumberFormat="1" applyFont="1" applyFill="1" applyBorder="1" applyAlignment="1">
      <alignment horizontal="center" vertical="center"/>
    </xf>
    <xf numFmtId="3" fontId="24" fillId="4" borderId="36" xfId="0" applyNumberFormat="1" applyFont="1" applyFill="1" applyBorder="1" applyAlignment="1">
      <alignment horizontal="center" vertical="center"/>
    </xf>
    <xf numFmtId="167" fontId="17" fillId="0" borderId="26" xfId="0" applyNumberFormat="1" applyFont="1" applyBorder="1" applyAlignment="1">
      <alignment horizontal="center" vertical="center"/>
    </xf>
    <xf numFmtId="167" fontId="17" fillId="0" borderId="8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167" fontId="17" fillId="0" borderId="1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4" borderId="18" xfId="0" applyNumberFormat="1" applyFont="1" applyFill="1" applyBorder="1" applyAlignment="1">
      <alignment horizontal="center" vertical="center"/>
    </xf>
    <xf numFmtId="3" fontId="24" fillId="4" borderId="18" xfId="0" applyNumberFormat="1" applyFont="1" applyFill="1" applyBorder="1" applyAlignment="1">
      <alignment horizontal="center" vertical="center"/>
    </xf>
    <xf numFmtId="3" fontId="24" fillId="4" borderId="2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4" borderId="124" xfId="0" applyFont="1" applyFill="1" applyBorder="1" applyAlignment="1">
      <alignment horizontal="left" vertical="center" wrapText="1"/>
    </xf>
    <xf numFmtId="3" fontId="0" fillId="0" borderId="124" xfId="0" applyNumberFormat="1" applyFont="1" applyBorder="1" applyAlignment="1">
      <alignment horizontal="center" vertical="center" wrapText="1"/>
    </xf>
    <xf numFmtId="164" fontId="8" fillId="3" borderId="124" xfId="1" applyNumberFormat="1" applyFont="1" applyFill="1" applyBorder="1" applyAlignment="1">
      <alignment horizontal="center" vertical="center" wrapText="1"/>
    </xf>
    <xf numFmtId="164" fontId="8" fillId="7" borderId="124" xfId="1" applyNumberFormat="1" applyFont="1" applyFill="1" applyBorder="1" applyAlignment="1">
      <alignment horizontal="center" vertical="center" wrapText="1"/>
    </xf>
    <xf numFmtId="0" fontId="17" fillId="14" borderId="15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 wrapText="1"/>
    </xf>
    <xf numFmtId="164" fontId="6" fillId="7" borderId="15" xfId="1" applyNumberFormat="1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 vertical="center" wrapText="1"/>
    </xf>
    <xf numFmtId="3" fontId="17" fillId="4" borderId="124" xfId="0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17" fillId="4" borderId="10" xfId="0" applyNumberFormat="1" applyFont="1" applyFill="1" applyBorder="1" applyAlignment="1">
      <alignment horizontal="center" vertical="center"/>
    </xf>
    <xf numFmtId="0" fontId="10" fillId="0" borderId="39" xfId="4" applyFill="1" applyBorder="1" applyAlignment="1">
      <alignment horizontal="center" vertical="center"/>
    </xf>
    <xf numFmtId="4" fontId="4" fillId="0" borderId="76" xfId="1" applyNumberFormat="1" applyFont="1" applyBorder="1" applyAlignment="1" applyProtection="1">
      <alignment horizontal="center" vertical="center" wrapText="1"/>
      <protection locked="0"/>
    </xf>
    <xf numFmtId="17" fontId="20" fillId="9" borderId="96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4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168" fontId="4" fillId="0" borderId="67" xfId="24" applyNumberFormat="1" applyFont="1" applyBorder="1" applyAlignment="1" applyProtection="1">
      <alignment horizontal="center" vertical="center" wrapText="1"/>
      <protection locked="0"/>
    </xf>
    <xf numFmtId="3" fontId="4" fillId="0" borderId="55" xfId="1" applyNumberFormat="1" applyFont="1" applyBorder="1" applyAlignment="1" applyProtection="1">
      <alignment horizontal="center" vertical="center" wrapText="1"/>
      <protection locked="0"/>
    </xf>
    <xf numFmtId="3" fontId="4" fillId="0" borderId="125" xfId="1" applyNumberFormat="1" applyFont="1" applyBorder="1" applyAlignment="1" applyProtection="1">
      <alignment horizontal="center" vertical="center" wrapText="1"/>
      <protection locked="0"/>
    </xf>
    <xf numFmtId="166" fontId="4" fillId="0" borderId="55" xfId="1" applyNumberFormat="1" applyFont="1" applyBorder="1" applyAlignment="1" applyProtection="1">
      <alignment horizontal="center" vertical="center" wrapText="1"/>
      <protection locked="0"/>
    </xf>
    <xf numFmtId="168" fontId="4" fillId="0" borderId="55" xfId="24" applyNumberFormat="1" applyFont="1" applyBorder="1" applyAlignment="1" applyProtection="1">
      <alignment horizontal="center" vertical="center" wrapText="1"/>
      <protection locked="0"/>
    </xf>
    <xf numFmtId="4" fontId="4" fillId="0" borderId="55" xfId="1" applyNumberFormat="1" applyFont="1" applyBorder="1" applyAlignment="1" applyProtection="1">
      <alignment horizontal="center" vertical="center" wrapText="1"/>
      <protection locked="0"/>
    </xf>
    <xf numFmtId="166" fontId="4" fillId="0" borderId="67" xfId="1" applyNumberFormat="1" applyFont="1" applyBorder="1" applyAlignment="1" applyProtection="1">
      <alignment horizontal="center" vertical="center" wrapText="1"/>
      <protection locked="0"/>
    </xf>
    <xf numFmtId="164" fontId="6" fillId="7" borderId="7" xfId="1" applyNumberFormat="1" applyFont="1" applyFill="1" applyBorder="1" applyAlignment="1">
      <alignment horizontal="center" vertical="center" wrapText="1"/>
    </xf>
    <xf numFmtId="164" fontId="6" fillId="7" borderId="40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 applyProtection="1">
      <alignment horizontal="center" vertical="center" wrapText="1"/>
      <protection locked="0"/>
    </xf>
    <xf numFmtId="3" fontId="4" fillId="0" borderId="40" xfId="1" applyNumberFormat="1" applyFont="1" applyBorder="1" applyAlignment="1" applyProtection="1">
      <alignment horizontal="center" vertical="center" wrapText="1"/>
      <protection locked="0"/>
    </xf>
    <xf numFmtId="164" fontId="6" fillId="3" borderId="7" xfId="1" applyNumberFormat="1" applyFont="1" applyFill="1" applyBorder="1" applyAlignment="1">
      <alignment horizontal="center" vertical="center" wrapText="1"/>
    </xf>
    <xf numFmtId="164" fontId="6" fillId="3" borderId="40" xfId="1" applyNumberFormat="1" applyFont="1" applyFill="1" applyBorder="1" applyAlignment="1">
      <alignment horizontal="center" vertical="center" wrapText="1"/>
    </xf>
    <xf numFmtId="3" fontId="4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40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7" xfId="1" applyNumberFormat="1" applyFont="1" applyBorder="1" applyAlignment="1" applyProtection="1">
      <alignment horizontal="center" vertical="center" wrapText="1"/>
      <protection locked="0"/>
    </xf>
    <xf numFmtId="17" fontId="0" fillId="0" borderId="0" xfId="0" applyNumberFormat="1"/>
    <xf numFmtId="0" fontId="4" fillId="0" borderId="0" xfId="1" applyFont="1" applyBorder="1" applyAlignment="1">
      <alignment vertical="center"/>
    </xf>
    <xf numFmtId="3" fontId="4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28" xfId="1" applyFont="1" applyBorder="1" applyAlignment="1">
      <alignment vertical="center"/>
    </xf>
    <xf numFmtId="3" fontId="3" fillId="2" borderId="0" xfId="1" applyNumberFormat="1" applyFont="1" applyFill="1" applyBorder="1" applyAlignment="1">
      <alignment horizontal="center" vertical="center" wrapText="1"/>
    </xf>
    <xf numFmtId="3" fontId="4" fillId="0" borderId="128" xfId="1" applyNumberFormat="1" applyFont="1" applyBorder="1" applyAlignment="1" applyProtection="1">
      <alignment horizontal="center" vertical="center" wrapText="1"/>
      <protection locked="0"/>
    </xf>
    <xf numFmtId="164" fontId="6" fillId="7" borderId="131" xfId="1" applyNumberFormat="1" applyFont="1" applyFill="1" applyBorder="1" applyAlignment="1">
      <alignment horizontal="center" vertical="center" wrapText="1"/>
    </xf>
    <xf numFmtId="3" fontId="4" fillId="4" borderId="128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32" xfId="1" applyNumberFormat="1" applyFont="1" applyBorder="1" applyAlignment="1" applyProtection="1">
      <alignment horizontal="center" vertical="center" wrapText="1"/>
      <protection locked="0"/>
    </xf>
    <xf numFmtId="164" fontId="6" fillId="3" borderId="128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3" fontId="3" fillId="2" borderId="128" xfId="1" applyNumberFormat="1" applyFont="1" applyFill="1" applyBorder="1" applyAlignment="1">
      <alignment horizontal="center" vertical="center" wrapText="1"/>
    </xf>
    <xf numFmtId="3" fontId="3" fillId="2" borderId="127" xfId="1" applyNumberFormat="1" applyFont="1" applyFill="1" applyBorder="1" applyAlignment="1">
      <alignment horizontal="center" vertical="center" wrapText="1"/>
    </xf>
    <xf numFmtId="3" fontId="3" fillId="0" borderId="40" xfId="1" applyNumberFormat="1" applyFont="1" applyBorder="1" applyAlignment="1">
      <alignment horizontal="center" wrapText="1"/>
    </xf>
    <xf numFmtId="164" fontId="6" fillId="7" borderId="128" xfId="1" applyNumberFormat="1" applyFont="1" applyFill="1" applyBorder="1" applyAlignment="1">
      <alignment horizontal="center" vertical="center" wrapText="1"/>
    </xf>
    <xf numFmtId="0" fontId="0" fillId="13" borderId="0" xfId="0" applyFill="1"/>
    <xf numFmtId="0" fontId="4" fillId="13" borderId="76" xfId="1" applyFont="1" applyFill="1" applyBorder="1" applyAlignment="1">
      <alignment vertical="center"/>
    </xf>
    <xf numFmtId="0" fontId="4" fillId="0" borderId="133" xfId="1" applyFont="1" applyBorder="1" applyAlignment="1">
      <alignment vertical="center"/>
    </xf>
    <xf numFmtId="0" fontId="4" fillId="0" borderId="136" xfId="1" applyFont="1" applyBorder="1" applyAlignment="1">
      <alignment vertical="center"/>
    </xf>
    <xf numFmtId="0" fontId="4" fillId="0" borderId="137" xfId="1" applyFont="1" applyBorder="1" applyAlignment="1">
      <alignment vertical="center"/>
    </xf>
    <xf numFmtId="0" fontId="3" fillId="8" borderId="138" xfId="1" applyFont="1" applyFill="1" applyBorder="1" applyAlignment="1">
      <alignment horizontal="center" vertical="center"/>
    </xf>
    <xf numFmtId="0" fontId="3" fillId="10" borderId="138" xfId="1" applyFont="1" applyFill="1" applyBorder="1" applyAlignment="1">
      <alignment horizontal="center" vertical="center"/>
    </xf>
    <xf numFmtId="0" fontId="3" fillId="6" borderId="138" xfId="1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 wrapText="1"/>
    </xf>
    <xf numFmtId="164" fontId="6" fillId="7" borderId="0" xfId="1" applyNumberFormat="1" applyFont="1" applyFill="1" applyBorder="1" applyAlignment="1">
      <alignment horizontal="center" vertical="center" wrapText="1"/>
    </xf>
    <xf numFmtId="0" fontId="4" fillId="0" borderId="139" xfId="1" applyFont="1" applyBorder="1" applyAlignment="1">
      <alignment vertical="center"/>
    </xf>
    <xf numFmtId="3" fontId="4" fillId="0" borderId="136" xfId="1" applyNumberFormat="1" applyFont="1" applyBorder="1" applyAlignment="1" applyProtection="1">
      <alignment horizontal="center" vertical="center" wrapText="1"/>
      <protection locked="0"/>
    </xf>
    <xf numFmtId="164" fontId="6" fillId="3" borderId="136" xfId="1" applyNumberFormat="1" applyFont="1" applyFill="1" applyBorder="1" applyAlignment="1">
      <alignment horizontal="center" vertical="center" wrapText="1"/>
    </xf>
    <xf numFmtId="3" fontId="4" fillId="4" borderId="136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36" xfId="1" applyNumberFormat="1" applyFont="1" applyFill="1" applyBorder="1" applyAlignment="1">
      <alignment horizontal="center" vertical="center" wrapText="1"/>
    </xf>
    <xf numFmtId="164" fontId="6" fillId="7" borderId="140" xfId="1" applyNumberFormat="1" applyFont="1" applyFill="1" applyBorder="1" applyAlignment="1">
      <alignment horizontal="center" vertical="center" wrapText="1"/>
    </xf>
    <xf numFmtId="3" fontId="4" fillId="4" borderId="116" xfId="1" applyNumberFormat="1" applyFont="1" applyFill="1" applyBorder="1" applyAlignment="1" applyProtection="1">
      <alignment horizontal="center" vertical="center" wrapText="1"/>
      <protection locked="0"/>
    </xf>
    <xf numFmtId="3" fontId="3" fillId="15" borderId="128" xfId="1" applyNumberFormat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vertical="center"/>
    </xf>
    <xf numFmtId="0" fontId="0" fillId="0" borderId="128" xfId="0" applyBorder="1"/>
    <xf numFmtId="0" fontId="0" fillId="17" borderId="128" xfId="0" applyFill="1" applyBorder="1" applyAlignment="1">
      <alignment horizontal="center"/>
    </xf>
    <xf numFmtId="0" fontId="3" fillId="0" borderId="97" xfId="1" applyFont="1" applyBorder="1"/>
    <xf numFmtId="3" fontId="3" fillId="0" borderId="0" xfId="1" applyNumberFormat="1" applyFont="1" applyBorder="1" applyAlignment="1">
      <alignment horizontal="center" wrapText="1"/>
    </xf>
    <xf numFmtId="164" fontId="8" fillId="3" borderId="128" xfId="1" applyNumberFormat="1" applyFont="1" applyFill="1" applyBorder="1" applyAlignment="1">
      <alignment horizontal="center" vertical="center" wrapText="1"/>
    </xf>
    <xf numFmtId="164" fontId="8" fillId="7" borderId="128" xfId="1" applyNumberFormat="1" applyFont="1" applyFill="1" applyBorder="1" applyAlignment="1">
      <alignment horizontal="center" vertical="center" wrapText="1"/>
    </xf>
    <xf numFmtId="0" fontId="3" fillId="15" borderId="138" xfId="1" applyFont="1" applyFill="1" applyBorder="1" applyAlignment="1">
      <alignment horizontal="center" vertical="center" wrapText="1"/>
    </xf>
    <xf numFmtId="3" fontId="3" fillId="15" borderId="136" xfId="1" applyNumberFormat="1" applyFont="1" applyFill="1" applyBorder="1" applyAlignment="1">
      <alignment horizontal="center" vertical="center" wrapText="1"/>
    </xf>
    <xf numFmtId="0" fontId="4" fillId="0" borderId="143" xfId="1" applyFont="1" applyBorder="1" applyAlignment="1">
      <alignment vertical="center"/>
    </xf>
    <xf numFmtId="0" fontId="4" fillId="13" borderId="144" xfId="1" applyFont="1" applyFill="1" applyBorder="1" applyAlignment="1">
      <alignment vertical="center"/>
    </xf>
    <xf numFmtId="3" fontId="4" fillId="0" borderId="145" xfId="1" applyNumberFormat="1" applyFont="1" applyBorder="1" applyAlignment="1" applyProtection="1">
      <alignment horizontal="center" vertical="center" wrapText="1"/>
      <protection locked="0"/>
    </xf>
    <xf numFmtId="3" fontId="4" fillId="0" borderId="146" xfId="1" applyNumberFormat="1" applyFont="1" applyBorder="1" applyAlignment="1" applyProtection="1">
      <alignment horizontal="center" vertical="center" wrapText="1"/>
      <protection locked="0"/>
    </xf>
    <xf numFmtId="0" fontId="3" fillId="6" borderId="135" xfId="1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>
      <alignment horizontal="center" vertical="center" wrapText="1"/>
    </xf>
    <xf numFmtId="3" fontId="4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7" xfId="1" applyNumberFormat="1" applyFont="1" applyFill="1" applyBorder="1" applyAlignment="1">
      <alignment horizontal="center" vertical="center" wrapText="1"/>
    </xf>
    <xf numFmtId="3" fontId="3" fillId="15" borderId="37" xfId="1" applyNumberFormat="1" applyFont="1" applyFill="1" applyBorder="1" applyAlignment="1">
      <alignment horizontal="center" vertical="center" wrapText="1"/>
    </xf>
    <xf numFmtId="164" fontId="6" fillId="3" borderId="149" xfId="1" applyNumberFormat="1" applyFont="1" applyFill="1" applyBorder="1" applyAlignment="1">
      <alignment horizontal="center" vertical="center" wrapText="1"/>
    </xf>
    <xf numFmtId="3" fontId="4" fillId="4" borderId="150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51" xfId="1" applyNumberFormat="1" applyFont="1" applyFill="1" applyBorder="1" applyAlignment="1">
      <alignment horizontal="center" vertical="center" wrapText="1"/>
    </xf>
    <xf numFmtId="0" fontId="4" fillId="0" borderId="152" xfId="1" applyFont="1" applyBorder="1" applyAlignment="1">
      <alignment vertical="center"/>
    </xf>
    <xf numFmtId="3" fontId="4" fillId="2" borderId="152" xfId="1" applyNumberFormat="1" applyFont="1" applyFill="1" applyBorder="1" applyAlignment="1">
      <alignment horizontal="center" vertical="center" wrapText="1"/>
    </xf>
    <xf numFmtId="3" fontId="4" fillId="0" borderId="152" xfId="1" applyNumberFormat="1" applyFont="1" applyBorder="1" applyAlignment="1" applyProtection="1">
      <alignment horizontal="center" vertical="center" wrapText="1"/>
      <protection locked="0"/>
    </xf>
    <xf numFmtId="3" fontId="4" fillId="4" borderId="152" xfId="1" applyNumberFormat="1" applyFont="1" applyFill="1" applyBorder="1" applyAlignment="1" applyProtection="1">
      <alignment horizontal="center" vertical="center" wrapText="1"/>
      <protection locked="0"/>
    </xf>
    <xf numFmtId="164" fontId="8" fillId="7" borderId="152" xfId="1" applyNumberFormat="1" applyFont="1" applyFill="1" applyBorder="1" applyAlignment="1">
      <alignment horizontal="center" vertical="center" wrapText="1"/>
    </xf>
    <xf numFmtId="164" fontId="8" fillId="3" borderId="152" xfId="1" applyNumberFormat="1" applyFont="1" applyFill="1" applyBorder="1" applyAlignment="1">
      <alignment horizontal="center" vertical="center" wrapText="1"/>
    </xf>
    <xf numFmtId="164" fontId="6" fillId="3" borderId="147" xfId="1" applyNumberFormat="1" applyFont="1" applyFill="1" applyBorder="1" applyAlignment="1">
      <alignment horizontal="center" vertical="center" wrapText="1"/>
    </xf>
    <xf numFmtId="164" fontId="6" fillId="7" borderId="108" xfId="1" applyNumberFormat="1" applyFont="1" applyFill="1" applyBorder="1" applyAlignment="1">
      <alignment horizontal="center" vertical="center" wrapText="1"/>
    </xf>
    <xf numFmtId="0" fontId="4" fillId="0" borderId="136" xfId="1" applyFont="1" applyFill="1" applyBorder="1" applyAlignment="1">
      <alignment vertical="center"/>
    </xf>
    <xf numFmtId="0" fontId="0" fillId="17" borderId="136" xfId="0" applyFill="1" applyBorder="1" applyAlignment="1">
      <alignment horizontal="center"/>
    </xf>
    <xf numFmtId="0" fontId="0" fillId="0" borderId="136" xfId="0" applyBorder="1"/>
    <xf numFmtId="164" fontId="6" fillId="16" borderId="37" xfId="1" applyNumberFormat="1" applyFont="1" applyFill="1" applyBorder="1" applyAlignment="1">
      <alignment horizontal="center" vertical="center" wrapText="1"/>
    </xf>
    <xf numFmtId="164" fontId="6" fillId="16" borderId="149" xfId="1" applyNumberFormat="1" applyFont="1" applyFill="1" applyBorder="1" applyAlignment="1">
      <alignment horizontal="center" vertical="center" wrapText="1"/>
    </xf>
    <xf numFmtId="0" fontId="4" fillId="0" borderId="153" xfId="1" applyFont="1" applyBorder="1" applyAlignment="1">
      <alignment vertical="center"/>
    </xf>
    <xf numFmtId="164" fontId="6" fillId="3" borderId="127" xfId="1" applyNumberFormat="1" applyFont="1" applyFill="1" applyBorder="1" applyAlignment="1">
      <alignment horizontal="center" vertical="center" wrapText="1"/>
    </xf>
    <xf numFmtId="0" fontId="4" fillId="0" borderId="116" xfId="1" applyFont="1" applyBorder="1" applyAlignment="1">
      <alignment vertical="center"/>
    </xf>
    <xf numFmtId="3" fontId="3" fillId="2" borderId="116" xfId="1" applyNumberFormat="1" applyFont="1" applyFill="1" applyBorder="1" applyAlignment="1">
      <alignment horizontal="center" vertical="center" wrapText="1"/>
    </xf>
    <xf numFmtId="3" fontId="4" fillId="0" borderId="116" xfId="1" applyNumberFormat="1" applyFont="1" applyBorder="1" applyAlignment="1" applyProtection="1">
      <alignment horizontal="center" vertical="center" wrapText="1"/>
      <protection locked="0"/>
    </xf>
    <xf numFmtId="164" fontId="6" fillId="3" borderId="116" xfId="1" applyNumberFormat="1" applyFont="1" applyFill="1" applyBorder="1" applyAlignment="1">
      <alignment horizontal="center" vertical="center" wrapText="1"/>
    </xf>
    <xf numFmtId="164" fontId="6" fillId="3" borderId="148" xfId="1" applyNumberFormat="1" applyFont="1" applyFill="1" applyBorder="1" applyAlignment="1">
      <alignment horizontal="center" vertical="center" wrapText="1"/>
    </xf>
    <xf numFmtId="3" fontId="3" fillId="2" borderId="86" xfId="1" applyNumberFormat="1" applyFont="1" applyFill="1" applyBorder="1" applyAlignment="1">
      <alignment horizontal="center" vertical="center" wrapText="1"/>
    </xf>
    <xf numFmtId="0" fontId="17" fillId="0" borderId="0" xfId="0" applyFont="1"/>
    <xf numFmtId="3" fontId="3" fillId="2" borderId="136" xfId="1" applyNumberFormat="1" applyFont="1" applyFill="1" applyBorder="1" applyAlignment="1">
      <alignment horizontal="center" vertical="center" wrapText="1"/>
    </xf>
    <xf numFmtId="164" fontId="6" fillId="7" borderId="154" xfId="1" applyNumberFormat="1" applyFont="1" applyFill="1" applyBorder="1" applyAlignment="1">
      <alignment horizontal="center" vertical="center" wrapText="1"/>
    </xf>
    <xf numFmtId="164" fontId="8" fillId="7" borderId="37" xfId="1" applyNumberFormat="1" applyFont="1" applyFill="1" applyBorder="1" applyAlignment="1">
      <alignment horizontal="center" vertical="center" wrapText="1"/>
    </xf>
    <xf numFmtId="164" fontId="8" fillId="7" borderId="154" xfId="1" applyNumberFormat="1" applyFont="1" applyFill="1" applyBorder="1" applyAlignment="1">
      <alignment horizontal="center" vertical="center" wrapText="1"/>
    </xf>
    <xf numFmtId="0" fontId="4" fillId="0" borderId="155" xfId="1" applyFont="1" applyBorder="1" applyAlignment="1">
      <alignment vertical="center"/>
    </xf>
    <xf numFmtId="164" fontId="8" fillId="3" borderId="136" xfId="1" applyNumberFormat="1" applyFont="1" applyFill="1" applyBorder="1" applyAlignment="1">
      <alignment horizontal="center" vertical="center" wrapText="1"/>
    </xf>
    <xf numFmtId="3" fontId="3" fillId="0" borderId="150" xfId="1" applyNumberFormat="1" applyFont="1" applyBorder="1" applyAlignment="1">
      <alignment horizontal="center" wrapText="1"/>
    </xf>
    <xf numFmtId="164" fontId="8" fillId="7" borderId="136" xfId="1" applyNumberFormat="1" applyFont="1" applyFill="1" applyBorder="1" applyAlignment="1">
      <alignment horizontal="center" vertical="center" wrapText="1"/>
    </xf>
    <xf numFmtId="164" fontId="6" fillId="3" borderId="150" xfId="1" applyNumberFormat="1" applyFont="1" applyFill="1" applyBorder="1" applyAlignment="1">
      <alignment horizontal="center" vertical="center" wrapText="1"/>
    </xf>
    <xf numFmtId="0" fontId="4" fillId="0" borderId="49" xfId="1" applyFont="1" applyBorder="1" applyAlignment="1">
      <alignment horizontal="left" vertical="center"/>
    </xf>
    <xf numFmtId="164" fontId="6" fillId="3" borderId="122" xfId="1" applyNumberFormat="1" applyFont="1" applyFill="1" applyBorder="1" applyAlignment="1">
      <alignment vertical="center" wrapText="1"/>
    </xf>
    <xf numFmtId="164" fontId="6" fillId="3" borderId="157" xfId="1" applyNumberFormat="1" applyFont="1" applyFill="1" applyBorder="1" applyAlignment="1">
      <alignment vertical="center" wrapText="1"/>
    </xf>
    <xf numFmtId="164" fontId="6" fillId="3" borderId="158" xfId="1" applyNumberFormat="1" applyFont="1" applyFill="1" applyBorder="1" applyAlignment="1">
      <alignment vertical="center" wrapText="1"/>
    </xf>
    <xf numFmtId="0" fontId="3" fillId="6" borderId="152" xfId="1" applyFont="1" applyFill="1" applyBorder="1" applyAlignment="1">
      <alignment horizontal="center" vertical="center"/>
    </xf>
    <xf numFmtId="0" fontId="4" fillId="13" borderId="127" xfId="1" applyFont="1" applyFill="1" applyBorder="1" applyAlignment="1">
      <alignment vertical="center"/>
    </xf>
    <xf numFmtId="164" fontId="4" fillId="4" borderId="128" xfId="25" applyNumberFormat="1" applyFont="1" applyFill="1" applyBorder="1" applyAlignment="1" applyProtection="1">
      <alignment horizontal="center" vertical="center" wrapText="1"/>
      <protection locked="0"/>
    </xf>
    <xf numFmtId="3" fontId="4" fillId="4" borderId="159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159" xfId="25" applyNumberFormat="1" applyFont="1" applyFill="1" applyBorder="1" applyAlignment="1" applyProtection="1">
      <alignment horizontal="center" vertical="center" wrapText="1"/>
      <protection locked="0"/>
    </xf>
    <xf numFmtId="3" fontId="4" fillId="4" borderId="91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91" xfId="25" applyNumberFormat="1" applyFont="1" applyFill="1" applyBorder="1" applyAlignment="1" applyProtection="1">
      <alignment horizontal="center" vertical="center" wrapText="1"/>
      <protection locked="0"/>
    </xf>
    <xf numFmtId="3" fontId="4" fillId="2" borderId="128" xfId="1" applyNumberFormat="1" applyFont="1" applyFill="1" applyBorder="1" applyAlignment="1">
      <alignment horizontal="center" vertical="center" wrapText="1"/>
    </xf>
    <xf numFmtId="164" fontId="8" fillId="9" borderId="128" xfId="1" applyNumberFormat="1" applyFont="1" applyFill="1" applyBorder="1" applyAlignment="1">
      <alignment horizontal="center" vertical="center" wrapText="1"/>
    </xf>
    <xf numFmtId="3" fontId="4" fillId="2" borderId="136" xfId="1" applyNumberFormat="1" applyFont="1" applyFill="1" applyBorder="1" applyAlignment="1">
      <alignment horizontal="center" vertical="center" wrapText="1"/>
    </xf>
    <xf numFmtId="164" fontId="8" fillId="9" borderId="136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3" fontId="4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7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 applyProtection="1">
      <alignment horizontal="center" vertical="center" wrapText="1"/>
      <protection locked="0"/>
    </xf>
    <xf numFmtId="0" fontId="3" fillId="8" borderId="134" xfId="1" applyFont="1" applyFill="1" applyBorder="1" applyAlignment="1">
      <alignment horizontal="center" vertical="center"/>
    </xf>
    <xf numFmtId="0" fontId="3" fillId="2" borderId="138" xfId="1" applyFont="1" applyFill="1" applyBorder="1" applyAlignment="1">
      <alignment horizontal="center" vertical="center" wrapText="1"/>
    </xf>
    <xf numFmtId="3" fontId="3" fillId="15" borderId="114" xfId="1" applyNumberFormat="1" applyFont="1" applyFill="1" applyBorder="1" applyAlignment="1">
      <alignment horizontal="center" vertical="center" wrapText="1"/>
    </xf>
    <xf numFmtId="164" fontId="6" fillId="3" borderId="114" xfId="1" applyNumberFormat="1" applyFont="1" applyFill="1" applyBorder="1" applyAlignment="1">
      <alignment horizontal="center" vertical="center" wrapText="1"/>
    </xf>
    <xf numFmtId="164" fontId="6" fillId="7" borderId="114" xfId="1" applyNumberFormat="1" applyFont="1" applyFill="1" applyBorder="1" applyAlignment="1">
      <alignment horizontal="center" vertical="center" wrapText="1"/>
    </xf>
    <xf numFmtId="0" fontId="4" fillId="0" borderId="160" xfId="1" applyFont="1" applyBorder="1" applyAlignment="1">
      <alignment vertical="center"/>
    </xf>
    <xf numFmtId="0" fontId="4" fillId="0" borderId="161" xfId="1" applyFont="1" applyBorder="1" applyAlignment="1">
      <alignment vertical="center"/>
    </xf>
    <xf numFmtId="0" fontId="3" fillId="18" borderId="35" xfId="1" applyFont="1" applyFill="1" applyBorder="1" applyAlignment="1">
      <alignment vertical="center"/>
    </xf>
    <xf numFmtId="0" fontId="3" fillId="18" borderId="21" xfId="1" applyFont="1" applyFill="1" applyBorder="1" applyAlignment="1">
      <alignment vertical="center"/>
    </xf>
    <xf numFmtId="167" fontId="24" fillId="0" borderId="117" xfId="0" applyNumberFormat="1" applyFont="1" applyBorder="1" applyAlignment="1">
      <alignment horizontal="center" vertical="center"/>
    </xf>
    <xf numFmtId="167" fontId="24" fillId="0" borderId="100" xfId="0" applyNumberFormat="1" applyFont="1" applyBorder="1" applyAlignment="1">
      <alignment horizontal="center" vertical="center"/>
    </xf>
    <xf numFmtId="167" fontId="24" fillId="0" borderId="120" xfId="0" applyNumberFormat="1" applyFont="1" applyBorder="1" applyAlignment="1">
      <alignment horizontal="center" vertical="center"/>
    </xf>
    <xf numFmtId="167" fontId="24" fillId="0" borderId="29" xfId="0" applyNumberFormat="1" applyFont="1" applyBorder="1" applyAlignment="1">
      <alignment horizontal="center" vertical="center"/>
    </xf>
    <xf numFmtId="3" fontId="28" fillId="13" borderId="119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4" borderId="10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6" xfId="0" applyFont="1" applyBorder="1" applyAlignment="1">
      <alignment vertical="center" wrapText="1"/>
    </xf>
    <xf numFmtId="0" fontId="20" fillId="0" borderId="116" xfId="0" applyFont="1" applyBorder="1" applyAlignment="1">
      <alignment vertical="center" wrapText="1"/>
    </xf>
    <xf numFmtId="164" fontId="8" fillId="3" borderId="162" xfId="1" applyNumberFormat="1" applyFont="1" applyFill="1" applyBorder="1" applyAlignment="1">
      <alignment horizontal="center" vertical="center" wrapText="1"/>
    </xf>
    <xf numFmtId="3" fontId="4" fillId="0" borderId="162" xfId="1" applyNumberFormat="1" applyFont="1" applyBorder="1" applyAlignment="1" applyProtection="1">
      <alignment horizontal="center" vertical="center" wrapText="1"/>
      <protection locked="0"/>
    </xf>
    <xf numFmtId="164" fontId="6" fillId="7" borderId="92" xfId="1" applyNumberFormat="1" applyFont="1" applyFill="1" applyBorder="1" applyAlignment="1">
      <alignment horizontal="center" vertical="center" wrapText="1"/>
    </xf>
    <xf numFmtId="3" fontId="4" fillId="4" borderId="114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63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63" xfId="1" applyNumberFormat="1" applyFont="1" applyFill="1" applyBorder="1" applyAlignment="1">
      <alignment horizontal="center" vertical="center" wrapText="1"/>
    </xf>
    <xf numFmtId="4" fontId="0" fillId="0" borderId="128" xfId="0" applyNumberFormat="1" applyBorder="1"/>
    <xf numFmtId="4" fontId="18" fillId="0" borderId="128" xfId="0" applyNumberFormat="1" applyFont="1" applyBorder="1"/>
    <xf numFmtId="0" fontId="4" fillId="0" borderId="128" xfId="1" applyFont="1" applyBorder="1" applyAlignment="1">
      <alignment vertical="center" wrapText="1"/>
    </xf>
    <xf numFmtId="0" fontId="3" fillId="8" borderId="128" xfId="1" applyFont="1" applyFill="1" applyBorder="1" applyAlignment="1">
      <alignment horizontal="center" vertical="center"/>
    </xf>
    <xf numFmtId="0" fontId="3" fillId="2" borderId="128" xfId="1" applyFont="1" applyFill="1" applyBorder="1" applyAlignment="1">
      <alignment horizontal="center" vertical="center" wrapText="1"/>
    </xf>
    <xf numFmtId="0" fontId="3" fillId="10" borderId="128" xfId="1" applyFont="1" applyFill="1" applyBorder="1" applyAlignment="1">
      <alignment horizontal="center" vertical="center"/>
    </xf>
    <xf numFmtId="0" fontId="3" fillId="6" borderId="128" xfId="1" applyFont="1" applyFill="1" applyBorder="1" applyAlignment="1">
      <alignment horizontal="center" vertical="center"/>
    </xf>
    <xf numFmtId="3" fontId="4" fillId="13" borderId="12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28" xfId="1" applyFont="1" applyBorder="1"/>
    <xf numFmtId="3" fontId="3" fillId="0" borderId="128" xfId="1" applyNumberFormat="1" applyFont="1" applyBorder="1" applyAlignment="1">
      <alignment horizontal="center" wrapText="1"/>
    </xf>
    <xf numFmtId="3" fontId="3" fillId="4" borderId="128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128" xfId="1" applyFont="1" applyFill="1" applyBorder="1" applyAlignment="1">
      <alignment vertical="center" wrapText="1"/>
    </xf>
    <xf numFmtId="164" fontId="6" fillId="16" borderId="128" xfId="1" applyNumberFormat="1" applyFont="1" applyFill="1" applyBorder="1" applyAlignment="1">
      <alignment horizontal="center" vertical="center" wrapText="1"/>
    </xf>
    <xf numFmtId="0" fontId="3" fillId="0" borderId="164" xfId="1" applyFont="1" applyBorder="1"/>
    <xf numFmtId="3" fontId="3" fillId="2" borderId="150" xfId="1" applyNumberFormat="1" applyFont="1" applyFill="1" applyBorder="1" applyAlignment="1">
      <alignment horizontal="center" vertical="center" wrapText="1"/>
    </xf>
    <xf numFmtId="164" fontId="6" fillId="7" borderId="150" xfId="1" applyNumberFormat="1" applyFont="1" applyFill="1" applyBorder="1" applyAlignment="1">
      <alignment horizontal="center" vertical="center" wrapText="1"/>
    </xf>
    <xf numFmtId="0" fontId="3" fillId="8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/>
    </xf>
    <xf numFmtId="0" fontId="3" fillId="10" borderId="15" xfId="1" applyFont="1" applyFill="1" applyBorder="1" applyAlignment="1">
      <alignment horizontal="center" vertical="center"/>
    </xf>
    <xf numFmtId="0" fontId="3" fillId="6" borderId="15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15" borderId="128" xfId="1" applyFont="1" applyFill="1" applyBorder="1" applyAlignment="1">
      <alignment horizontal="center" vertical="center" wrapText="1"/>
    </xf>
    <xf numFmtId="3" fontId="3" fillId="4" borderId="128" xfId="1" applyNumberFormat="1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8" borderId="128" xfId="1" applyFont="1" applyFill="1" applyBorder="1" applyAlignment="1" applyProtection="1">
      <alignment horizontal="center" vertical="center" wrapText="1"/>
    </xf>
    <xf numFmtId="0" fontId="3" fillId="2" borderId="128" xfId="1" applyFont="1" applyFill="1" applyBorder="1" applyAlignment="1" applyProtection="1">
      <alignment horizontal="center" vertical="center" wrapText="1"/>
    </xf>
    <xf numFmtId="0" fontId="3" fillId="10" borderId="128" xfId="1" applyFont="1" applyFill="1" applyBorder="1" applyAlignment="1" applyProtection="1">
      <alignment horizontal="center" vertical="center" wrapText="1"/>
    </xf>
    <xf numFmtId="0" fontId="4" fillId="0" borderId="128" xfId="1" applyFont="1" applyBorder="1" applyAlignment="1" applyProtection="1">
      <alignment vertical="center" wrapText="1"/>
    </xf>
    <xf numFmtId="3" fontId="3" fillId="2" borderId="128" xfId="1" applyNumberFormat="1" applyFont="1" applyFill="1" applyBorder="1" applyAlignment="1" applyProtection="1">
      <alignment horizontal="center" vertical="center" wrapText="1"/>
    </xf>
    <xf numFmtId="3" fontId="4" fillId="0" borderId="128" xfId="1" applyNumberFormat="1" applyFont="1" applyBorder="1" applyAlignment="1" applyProtection="1">
      <alignment horizontal="center" vertical="center" wrapText="1"/>
    </xf>
    <xf numFmtId="164" fontId="6" fillId="3" borderId="128" xfId="1" applyNumberFormat="1" applyFont="1" applyFill="1" applyBorder="1" applyAlignment="1" applyProtection="1">
      <alignment horizontal="center" vertical="center" wrapText="1"/>
    </xf>
    <xf numFmtId="0" fontId="4" fillId="13" borderId="128" xfId="1" applyFont="1" applyFill="1" applyBorder="1" applyAlignment="1" applyProtection="1">
      <alignment vertical="center" wrapText="1"/>
    </xf>
    <xf numFmtId="3" fontId="3" fillId="15" borderId="128" xfId="1" applyNumberFormat="1" applyFont="1" applyFill="1" applyBorder="1" applyAlignment="1" applyProtection="1">
      <alignment horizontal="center" vertical="center" wrapText="1"/>
    </xf>
    <xf numFmtId="3" fontId="4" fillId="13" borderId="128" xfId="1" applyNumberFormat="1" applyFont="1" applyFill="1" applyBorder="1" applyAlignment="1" applyProtection="1">
      <alignment horizontal="center" vertical="center" wrapText="1"/>
    </xf>
    <xf numFmtId="164" fontId="6" fillId="16" borderId="128" xfId="1" applyNumberFormat="1" applyFont="1" applyFill="1" applyBorder="1" applyAlignment="1" applyProtection="1">
      <alignment horizontal="center" vertical="center" wrapText="1"/>
    </xf>
    <xf numFmtId="0" fontId="3" fillId="0" borderId="128" xfId="1" applyFont="1" applyBorder="1" applyAlignment="1" applyProtection="1">
      <alignment wrapText="1"/>
    </xf>
    <xf numFmtId="3" fontId="3" fillId="0" borderId="128" xfId="1" applyNumberFormat="1" applyFont="1" applyBorder="1" applyAlignment="1" applyProtection="1">
      <alignment horizontal="center" wrapText="1"/>
    </xf>
    <xf numFmtId="0" fontId="3" fillId="8" borderId="128" xfId="1" applyFont="1" applyFill="1" applyBorder="1" applyAlignment="1" applyProtection="1">
      <alignment horizontal="center" vertical="center"/>
    </xf>
    <xf numFmtId="0" fontId="4" fillId="0" borderId="128" xfId="1" applyFont="1" applyBorder="1" applyAlignment="1" applyProtection="1">
      <alignment vertical="center"/>
    </xf>
    <xf numFmtId="0" fontId="3" fillId="0" borderId="128" xfId="1" applyFont="1" applyBorder="1" applyProtection="1"/>
    <xf numFmtId="0" fontId="3" fillId="8" borderId="87" xfId="1" applyFont="1" applyFill="1" applyBorder="1" applyAlignment="1" applyProtection="1">
      <alignment horizontal="center" vertical="center"/>
    </xf>
    <xf numFmtId="0" fontId="4" fillId="0" borderId="38" xfId="1" applyFont="1" applyBorder="1" applyAlignment="1" applyProtection="1">
      <alignment vertical="center"/>
    </xf>
    <xf numFmtId="3" fontId="3" fillId="2" borderId="3" xfId="1" applyNumberFormat="1" applyFont="1" applyFill="1" applyBorder="1" applyAlignment="1" applyProtection="1">
      <alignment horizontal="center" vertical="center" wrapText="1"/>
    </xf>
    <xf numFmtId="3" fontId="4" fillId="0" borderId="3" xfId="1" applyNumberFormat="1" applyFont="1" applyBorder="1" applyAlignment="1" applyProtection="1">
      <alignment horizontal="center" vertical="center" wrapText="1"/>
    </xf>
    <xf numFmtId="164" fontId="8" fillId="3" borderId="3" xfId="1" applyNumberFormat="1" applyFont="1" applyFill="1" applyBorder="1" applyAlignment="1" applyProtection="1">
      <alignment horizontal="center" vertical="center" wrapText="1"/>
    </xf>
    <xf numFmtId="3" fontId="4" fillId="0" borderId="121" xfId="1" applyNumberFormat="1" applyFont="1" applyBorder="1" applyAlignment="1" applyProtection="1">
      <alignment horizontal="center" vertical="center" wrapText="1"/>
    </xf>
    <xf numFmtId="164" fontId="8" fillId="9" borderId="3" xfId="1" applyNumberFormat="1" applyFont="1" applyFill="1" applyBorder="1" applyAlignment="1" applyProtection="1">
      <alignment horizontal="center" vertical="center" wrapText="1"/>
    </xf>
    <xf numFmtId="0" fontId="4" fillId="0" borderId="85" xfId="1" applyFont="1" applyBorder="1" applyAlignment="1" applyProtection="1">
      <alignment vertical="center"/>
    </xf>
    <xf numFmtId="3" fontId="3" fillId="2" borderId="86" xfId="1" applyNumberFormat="1" applyFont="1" applyFill="1" applyBorder="1" applyAlignment="1" applyProtection="1">
      <alignment horizontal="center" vertical="center" wrapText="1"/>
    </xf>
    <xf numFmtId="3" fontId="4" fillId="0" borderId="86" xfId="1" applyNumberFormat="1" applyFont="1" applyBorder="1" applyAlignment="1" applyProtection="1">
      <alignment horizontal="center" vertical="center" wrapText="1"/>
    </xf>
    <xf numFmtId="3" fontId="4" fillId="0" borderId="55" xfId="1" applyNumberFormat="1" applyFont="1" applyBorder="1" applyAlignment="1" applyProtection="1">
      <alignment horizontal="center" vertical="center" wrapText="1"/>
    </xf>
    <xf numFmtId="0" fontId="3" fillId="0" borderId="33" xfId="1" applyFont="1" applyBorder="1" applyProtection="1"/>
    <xf numFmtId="3" fontId="3" fillId="2" borderId="37" xfId="1" applyNumberFormat="1" applyFont="1" applyFill="1" applyBorder="1" applyAlignment="1" applyProtection="1">
      <alignment horizontal="center" vertical="center" wrapText="1"/>
    </xf>
    <xf numFmtId="3" fontId="3" fillId="0" borderId="37" xfId="1" applyNumberFormat="1" applyFont="1" applyBorder="1" applyAlignment="1" applyProtection="1">
      <alignment horizontal="center" wrapText="1"/>
    </xf>
    <xf numFmtId="164" fontId="6" fillId="3" borderId="37" xfId="1" applyNumberFormat="1" applyFont="1" applyFill="1" applyBorder="1" applyAlignment="1" applyProtection="1">
      <alignment horizontal="center" vertical="center" wrapText="1"/>
    </xf>
    <xf numFmtId="164" fontId="6" fillId="9" borderId="37" xfId="1" applyNumberFormat="1" applyFont="1" applyFill="1" applyBorder="1" applyAlignment="1" applyProtection="1">
      <alignment horizontal="center" vertical="center" wrapText="1"/>
    </xf>
    <xf numFmtId="164" fontId="8" fillId="3" borderId="128" xfId="1" applyNumberFormat="1" applyFont="1" applyFill="1" applyBorder="1" applyAlignment="1" applyProtection="1">
      <alignment horizontal="center" vertical="center" wrapText="1"/>
    </xf>
    <xf numFmtId="0" fontId="3" fillId="8" borderId="51" xfId="1" applyFont="1" applyFill="1" applyBorder="1" applyAlignment="1" applyProtection="1">
      <alignment horizontal="center" vertical="center"/>
    </xf>
    <xf numFmtId="0" fontId="3" fillId="2" borderId="52" xfId="1" applyFont="1" applyFill="1" applyBorder="1" applyAlignment="1" applyProtection="1">
      <alignment horizontal="center" vertical="center" wrapText="1"/>
    </xf>
    <xf numFmtId="0" fontId="4" fillId="0" borderId="53" xfId="1" applyFont="1" applyBorder="1" applyAlignment="1" applyProtection="1">
      <alignment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3" fontId="3" fillId="2" borderId="54" xfId="1" applyNumberFormat="1" applyFont="1" applyFill="1" applyBorder="1" applyAlignment="1" applyProtection="1">
      <alignment horizontal="center" vertical="center" wrapText="1"/>
    </xf>
    <xf numFmtId="3" fontId="4" fillId="0" borderId="54" xfId="1" applyNumberFormat="1" applyFont="1" applyBorder="1" applyAlignment="1" applyProtection="1">
      <alignment horizontal="center" vertical="center" wrapText="1"/>
    </xf>
    <xf numFmtId="3" fontId="3" fillId="2" borderId="127" xfId="1" applyNumberFormat="1" applyFont="1" applyFill="1" applyBorder="1" applyAlignment="1" applyProtection="1">
      <alignment horizontal="center" vertical="center" wrapText="1"/>
    </xf>
    <xf numFmtId="3" fontId="4" fillId="0" borderId="127" xfId="1" applyNumberFormat="1" applyFont="1" applyBorder="1" applyAlignment="1" applyProtection="1">
      <alignment horizontal="center" vertical="center" wrapText="1"/>
    </xf>
    <xf numFmtId="164" fontId="6" fillId="3" borderId="7" xfId="1" applyNumberFormat="1" applyFont="1" applyFill="1" applyBorder="1" applyAlignment="1" applyProtection="1">
      <alignment horizontal="center" vertical="center" wrapText="1"/>
    </xf>
    <xf numFmtId="0" fontId="4" fillId="0" borderId="32" xfId="1" applyFont="1" applyBorder="1" applyAlignment="1" applyProtection="1">
      <alignment vertical="center"/>
    </xf>
    <xf numFmtId="3" fontId="3" fillId="2" borderId="7" xfId="1" applyNumberFormat="1" applyFont="1" applyFill="1" applyBorder="1" applyAlignment="1" applyProtection="1">
      <alignment horizontal="center" vertical="center" wrapText="1"/>
    </xf>
    <xf numFmtId="3" fontId="4" fillId="0" borderId="7" xfId="1" applyNumberFormat="1" applyFont="1" applyBorder="1" applyAlignment="1" applyProtection="1">
      <alignment horizontal="center" vertical="center" wrapText="1"/>
    </xf>
    <xf numFmtId="164" fontId="6" fillId="3" borderId="136" xfId="1" applyNumberFormat="1" applyFont="1" applyFill="1" applyBorder="1" applyAlignment="1" applyProtection="1">
      <alignment horizontal="center" vertical="center" wrapText="1"/>
    </xf>
    <xf numFmtId="0" fontId="3" fillId="8" borderId="45" xfId="1" applyFont="1" applyFill="1" applyBorder="1" applyAlignment="1" applyProtection="1">
      <alignment horizontal="center" vertical="center"/>
    </xf>
    <xf numFmtId="0" fontId="3" fillId="15" borderId="138" xfId="1" applyFont="1" applyFill="1" applyBorder="1" applyAlignment="1" applyProtection="1">
      <alignment horizontal="center" vertical="center" wrapText="1"/>
    </xf>
    <xf numFmtId="0" fontId="4" fillId="0" borderId="137" xfId="1" applyFont="1" applyBorder="1" applyAlignment="1" applyProtection="1">
      <alignment vertical="center"/>
    </xf>
    <xf numFmtId="3" fontId="3" fillId="15" borderId="136" xfId="1" applyNumberFormat="1" applyFont="1" applyFill="1" applyBorder="1" applyAlignment="1" applyProtection="1">
      <alignment horizontal="center" vertical="center" wrapText="1"/>
    </xf>
    <xf numFmtId="3" fontId="4" fillId="0" borderId="136" xfId="1" applyNumberFormat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vertical="center"/>
    </xf>
    <xf numFmtId="0" fontId="4" fillId="0" borderId="136" xfId="1" applyFont="1" applyBorder="1" applyAlignment="1" applyProtection="1">
      <alignment vertical="center"/>
    </xf>
    <xf numFmtId="164" fontId="6" fillId="3" borderId="147" xfId="1" applyNumberFormat="1" applyFont="1" applyFill="1" applyBorder="1" applyAlignment="1" applyProtection="1">
      <alignment horizontal="center" vertical="center" wrapText="1"/>
    </xf>
    <xf numFmtId="3" fontId="3" fillId="15" borderId="37" xfId="1" applyNumberFormat="1" applyFont="1" applyFill="1" applyBorder="1" applyAlignment="1" applyProtection="1">
      <alignment horizontal="center" vertical="center" wrapText="1"/>
    </xf>
    <xf numFmtId="164" fontId="6" fillId="3" borderId="149" xfId="1" applyNumberFormat="1" applyFont="1" applyFill="1" applyBorder="1" applyAlignment="1" applyProtection="1">
      <alignment horizontal="center" vertical="center" wrapText="1"/>
    </xf>
    <xf numFmtId="0" fontId="4" fillId="0" borderId="161" xfId="1" applyFont="1" applyBorder="1" applyAlignment="1" applyProtection="1">
      <alignment vertical="center"/>
    </xf>
    <xf numFmtId="3" fontId="3" fillId="15" borderId="114" xfId="1" applyNumberFormat="1" applyFont="1" applyFill="1" applyBorder="1" applyAlignment="1" applyProtection="1">
      <alignment horizontal="center" vertical="center" wrapText="1"/>
    </xf>
    <xf numFmtId="3" fontId="4" fillId="0" borderId="0" xfId="1" applyNumberFormat="1" applyFont="1" applyBorder="1" applyAlignment="1" applyProtection="1">
      <alignment horizontal="center" vertical="center" wrapText="1"/>
    </xf>
    <xf numFmtId="164" fontId="6" fillId="3" borderId="114" xfId="1" applyNumberFormat="1" applyFont="1" applyFill="1" applyBorder="1" applyAlignment="1" applyProtection="1">
      <alignment horizontal="center" vertical="center" wrapText="1"/>
    </xf>
    <xf numFmtId="0" fontId="3" fillId="8" borderId="56" xfId="1" applyFont="1" applyFill="1" applyBorder="1" applyAlignment="1" applyProtection="1">
      <alignment horizontal="center" vertical="center"/>
    </xf>
    <xf numFmtId="0" fontId="3" fillId="2" borderId="57" xfId="1" applyFont="1" applyFill="1" applyBorder="1" applyAlignment="1" applyProtection="1">
      <alignment horizontal="center" vertical="center" wrapText="1"/>
    </xf>
    <xf numFmtId="3" fontId="3" fillId="2" borderId="59" xfId="1" applyNumberFormat="1" applyFont="1" applyFill="1" applyBorder="1" applyAlignment="1" applyProtection="1">
      <alignment horizontal="center" vertical="center" wrapText="1"/>
    </xf>
    <xf numFmtId="3" fontId="4" fillId="0" borderId="59" xfId="1" applyNumberFormat="1" applyFont="1" applyBorder="1" applyAlignment="1" applyProtection="1">
      <alignment horizontal="center" vertical="center" wrapText="1"/>
    </xf>
    <xf numFmtId="0" fontId="4" fillId="0" borderId="60" xfId="1" applyFont="1" applyBorder="1" applyAlignment="1" applyProtection="1">
      <alignment vertical="center"/>
    </xf>
    <xf numFmtId="3" fontId="3" fillId="2" borderId="61" xfId="1" applyNumberFormat="1" applyFont="1" applyFill="1" applyBorder="1" applyAlignment="1" applyProtection="1">
      <alignment horizontal="center" vertical="center" wrapText="1"/>
    </xf>
    <xf numFmtId="3" fontId="4" fillId="0" borderId="61" xfId="1" applyNumberFormat="1" applyFont="1" applyBorder="1" applyAlignment="1" applyProtection="1">
      <alignment horizontal="center" vertical="center" wrapText="1"/>
    </xf>
    <xf numFmtId="0" fontId="4" fillId="0" borderId="62" xfId="1" applyFont="1" applyBorder="1" applyAlignment="1" applyProtection="1">
      <alignment vertical="center"/>
    </xf>
    <xf numFmtId="3" fontId="3" fillId="2" borderId="63" xfId="1" applyNumberFormat="1" applyFont="1" applyFill="1" applyBorder="1" applyAlignment="1" applyProtection="1">
      <alignment horizontal="center" vertical="center" wrapText="1"/>
    </xf>
    <xf numFmtId="3" fontId="4" fillId="0" borderId="63" xfId="1" applyNumberFormat="1" applyFont="1" applyBorder="1" applyAlignment="1" applyProtection="1">
      <alignment horizontal="center" vertical="center" wrapText="1"/>
    </xf>
    <xf numFmtId="164" fontId="6" fillId="3" borderId="63" xfId="1" applyNumberFormat="1" applyFont="1" applyFill="1" applyBorder="1" applyAlignment="1" applyProtection="1">
      <alignment horizontal="center" vertical="center" wrapText="1"/>
    </xf>
    <xf numFmtId="3" fontId="4" fillId="0" borderId="125" xfId="1" applyNumberFormat="1" applyFont="1" applyBorder="1" applyAlignment="1" applyProtection="1">
      <alignment horizontal="center" vertical="center" wrapText="1"/>
    </xf>
    <xf numFmtId="0" fontId="3" fillId="8" borderId="79" xfId="1" applyFont="1" applyFill="1" applyBorder="1" applyAlignment="1" applyProtection="1">
      <alignment horizontal="center" vertical="center"/>
    </xf>
    <xf numFmtId="0" fontId="3" fillId="2" borderId="80" xfId="1" applyFont="1" applyFill="1" applyBorder="1" applyAlignment="1" applyProtection="1">
      <alignment horizontal="center" vertical="center" wrapText="1"/>
    </xf>
    <xf numFmtId="0" fontId="4" fillId="0" borderId="81" xfId="1" applyFont="1" applyBorder="1" applyAlignment="1" applyProtection="1">
      <alignment vertical="center"/>
    </xf>
    <xf numFmtId="3" fontId="3" fillId="2" borderId="82" xfId="1" applyNumberFormat="1" applyFont="1" applyFill="1" applyBorder="1" applyAlignment="1" applyProtection="1">
      <alignment horizontal="center" vertical="center" wrapText="1"/>
    </xf>
    <xf numFmtId="3" fontId="4" fillId="0" borderId="82" xfId="1" applyNumberFormat="1" applyFont="1" applyBorder="1" applyAlignment="1" applyProtection="1">
      <alignment horizontal="center" vertical="center" wrapText="1"/>
    </xf>
    <xf numFmtId="0" fontId="4" fillId="0" borderId="153" xfId="1" applyFont="1" applyBorder="1" applyAlignment="1" applyProtection="1">
      <alignment vertical="center"/>
    </xf>
    <xf numFmtId="3" fontId="4" fillId="2" borderId="128" xfId="1" applyNumberFormat="1" applyFont="1" applyFill="1" applyBorder="1" applyAlignment="1" applyProtection="1">
      <alignment horizontal="center" vertical="center" wrapText="1"/>
    </xf>
    <xf numFmtId="164" fontId="8" fillId="9" borderId="128" xfId="1" applyNumberFormat="1" applyFont="1" applyFill="1" applyBorder="1" applyAlignment="1" applyProtection="1">
      <alignment horizontal="center" vertical="center" wrapText="1"/>
    </xf>
    <xf numFmtId="3" fontId="4" fillId="2" borderId="136" xfId="1" applyNumberFormat="1" applyFont="1" applyFill="1" applyBorder="1" applyAlignment="1" applyProtection="1">
      <alignment horizontal="center" vertical="center" wrapText="1"/>
    </xf>
    <xf numFmtId="164" fontId="8" fillId="3" borderId="136" xfId="1" applyNumberFormat="1" applyFont="1" applyFill="1" applyBorder="1" applyAlignment="1" applyProtection="1">
      <alignment horizontal="center" vertical="center" wrapText="1"/>
    </xf>
    <xf numFmtId="164" fontId="8" fillId="9" borderId="136" xfId="1" applyNumberFormat="1" applyFont="1" applyFill="1" applyBorder="1" applyAlignment="1" applyProtection="1">
      <alignment horizontal="center" vertical="center" wrapText="1"/>
    </xf>
    <xf numFmtId="0" fontId="3" fillId="8" borderId="68" xfId="1" applyFont="1" applyFill="1" applyBorder="1" applyAlignment="1" applyProtection="1">
      <alignment horizontal="center" vertical="center"/>
    </xf>
    <xf numFmtId="0" fontId="3" fillId="2" borderId="69" xfId="1" applyFont="1" applyFill="1" applyBorder="1" applyAlignment="1" applyProtection="1">
      <alignment horizontal="center" vertical="center" wrapText="1"/>
    </xf>
    <xf numFmtId="0" fontId="4" fillId="0" borderId="70" xfId="1" applyFont="1" applyBorder="1" applyAlignment="1" applyProtection="1">
      <alignment vertical="center"/>
    </xf>
    <xf numFmtId="3" fontId="3" fillId="2" borderId="71" xfId="1" applyNumberFormat="1" applyFont="1" applyFill="1" applyBorder="1" applyAlignment="1" applyProtection="1">
      <alignment horizontal="center" vertical="center" wrapText="1"/>
    </xf>
    <xf numFmtId="3" fontId="4" fillId="0" borderId="71" xfId="1" applyNumberFormat="1" applyFont="1" applyBorder="1" applyAlignment="1" applyProtection="1">
      <alignment horizontal="center" vertical="center" wrapText="1"/>
    </xf>
    <xf numFmtId="164" fontId="6" fillId="3" borderId="71" xfId="1" applyNumberFormat="1" applyFont="1" applyFill="1" applyBorder="1" applyAlignment="1" applyProtection="1">
      <alignment horizontal="center" vertical="center" wrapText="1"/>
    </xf>
    <xf numFmtId="164" fontId="6" fillId="3" borderId="127" xfId="1" applyNumberFormat="1" applyFont="1" applyFill="1" applyBorder="1" applyAlignment="1" applyProtection="1">
      <alignment horizontal="center" vertical="center" wrapText="1"/>
    </xf>
    <xf numFmtId="0" fontId="4" fillId="0" borderId="116" xfId="1" applyFont="1" applyBorder="1" applyAlignment="1" applyProtection="1">
      <alignment vertical="center"/>
    </xf>
    <xf numFmtId="3" fontId="3" fillId="2" borderId="116" xfId="1" applyNumberFormat="1" applyFont="1" applyFill="1" applyBorder="1" applyAlignment="1" applyProtection="1">
      <alignment horizontal="center" vertical="center" wrapText="1"/>
    </xf>
    <xf numFmtId="3" fontId="4" fillId="0" borderId="116" xfId="1" applyNumberFormat="1" applyFont="1" applyBorder="1" applyAlignment="1" applyProtection="1">
      <alignment horizontal="center" vertical="center" wrapText="1"/>
    </xf>
    <xf numFmtId="164" fontId="6" fillId="3" borderId="116" xfId="1" applyNumberFormat="1" applyFont="1" applyFill="1" applyBorder="1" applyAlignment="1" applyProtection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</xf>
    <xf numFmtId="3" fontId="4" fillId="0" borderId="132" xfId="1" applyNumberFormat="1" applyFont="1" applyBorder="1" applyAlignment="1" applyProtection="1">
      <alignment horizontal="center" vertical="center" wrapText="1"/>
    </xf>
    <xf numFmtId="164" fontId="6" fillId="3" borderId="148" xfId="1" applyNumberFormat="1" applyFont="1" applyFill="1" applyBorder="1" applyAlignment="1" applyProtection="1">
      <alignment horizontal="center" vertical="center" wrapText="1"/>
    </xf>
    <xf numFmtId="0" fontId="3" fillId="8" borderId="14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 wrapText="1"/>
    </xf>
    <xf numFmtId="0" fontId="4" fillId="0" borderId="89" xfId="1" applyFont="1" applyBorder="1" applyAlignment="1" applyProtection="1">
      <alignment vertical="center"/>
    </xf>
    <xf numFmtId="0" fontId="4" fillId="0" borderId="155" xfId="1" applyFont="1" applyBorder="1" applyAlignment="1" applyProtection="1">
      <alignment vertical="center"/>
    </xf>
    <xf numFmtId="3" fontId="3" fillId="2" borderId="136" xfId="1" applyNumberFormat="1" applyFont="1" applyFill="1" applyBorder="1" applyAlignment="1" applyProtection="1">
      <alignment horizontal="center" vertical="center" wrapText="1"/>
    </xf>
    <xf numFmtId="0" fontId="3" fillId="0" borderId="164" xfId="1" applyFont="1" applyBorder="1" applyProtection="1"/>
    <xf numFmtId="3" fontId="3" fillId="2" borderId="150" xfId="1" applyNumberFormat="1" applyFont="1" applyFill="1" applyBorder="1" applyAlignment="1" applyProtection="1">
      <alignment horizontal="center" vertical="center" wrapText="1"/>
    </xf>
    <xf numFmtId="3" fontId="3" fillId="0" borderId="150" xfId="1" applyNumberFormat="1" applyFont="1" applyBorder="1" applyAlignment="1" applyProtection="1">
      <alignment horizontal="center" wrapText="1"/>
    </xf>
    <xf numFmtId="164" fontId="6" fillId="3" borderId="150" xfId="1" applyNumberFormat="1" applyFont="1" applyFill="1" applyBorder="1" applyAlignment="1" applyProtection="1">
      <alignment horizontal="center" vertical="center" wrapText="1"/>
    </xf>
    <xf numFmtId="0" fontId="4" fillId="0" borderId="128" xfId="1" applyFont="1" applyBorder="1" applyAlignment="1" applyProtection="1">
      <alignment horizontal="left" vertical="center" wrapText="1"/>
    </xf>
    <xf numFmtId="0" fontId="3" fillId="15" borderId="128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36" xfId="1" applyFont="1" applyBorder="1" applyAlignment="1" applyProtection="1">
      <alignment vertical="center" wrapText="1"/>
    </xf>
    <xf numFmtId="0" fontId="4" fillId="0" borderId="58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vertical="center" wrapText="1"/>
    </xf>
    <xf numFmtId="0" fontId="4" fillId="0" borderId="133" xfId="1" applyFont="1" applyBorder="1" applyAlignment="1" applyProtection="1">
      <alignment vertical="center" wrapText="1"/>
    </xf>
    <xf numFmtId="0" fontId="4" fillId="0" borderId="85" xfId="1" applyFont="1" applyBorder="1" applyAlignment="1" applyProtection="1">
      <alignment vertical="center" wrapText="1"/>
    </xf>
    <xf numFmtId="0" fontId="4" fillId="0" borderId="97" xfId="1" applyFont="1" applyBorder="1" applyAlignment="1">
      <alignment vertical="center"/>
    </xf>
    <xf numFmtId="0" fontId="4" fillId="0" borderId="97" xfId="1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3" fontId="4" fillId="0" borderId="7" xfId="1" applyNumberFormat="1" applyFont="1" applyBorder="1" applyAlignment="1" applyProtection="1">
      <alignment horizontal="center" vertical="center" wrapText="1"/>
      <protection locked="0"/>
    </xf>
    <xf numFmtId="3" fontId="3" fillId="2" borderId="7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3" fontId="4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7" xfId="1" applyNumberFormat="1" applyFont="1" applyFill="1" applyBorder="1" applyAlignment="1">
      <alignment horizontal="center" vertical="center" wrapText="1"/>
    </xf>
    <xf numFmtId="0" fontId="8" fillId="0" borderId="165" xfId="1" applyFont="1" applyFill="1" applyBorder="1" applyAlignment="1">
      <alignment vertical="center"/>
    </xf>
    <xf numFmtId="164" fontId="6" fillId="7" borderId="156" xfId="1" applyNumberFormat="1" applyFont="1" applyFill="1" applyBorder="1" applyAlignment="1">
      <alignment horizontal="center" vertical="center" wrapText="1"/>
    </xf>
    <xf numFmtId="0" fontId="4" fillId="0" borderId="85" xfId="1" applyFont="1" applyBorder="1" applyAlignment="1">
      <alignment vertical="center" wrapText="1"/>
    </xf>
    <xf numFmtId="3" fontId="4" fillId="20" borderId="136" xfId="1" applyNumberFormat="1" applyFont="1" applyFill="1" applyBorder="1" applyAlignment="1" applyProtection="1">
      <alignment horizontal="center" vertical="center" wrapText="1"/>
      <protection locked="0"/>
    </xf>
    <xf numFmtId="3" fontId="4" fillId="20" borderId="12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1" applyFont="1" applyBorder="1" applyAlignment="1">
      <alignment vertical="center" wrapText="1"/>
    </xf>
    <xf numFmtId="0" fontId="4" fillId="0" borderId="136" xfId="1" applyFont="1" applyBorder="1" applyAlignment="1">
      <alignment vertical="center" wrapText="1"/>
    </xf>
    <xf numFmtId="0" fontId="11" fillId="0" borderId="110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99" xfId="4" applyFont="1" applyBorder="1" applyAlignment="1">
      <alignment horizontal="center" vertical="center"/>
    </xf>
    <xf numFmtId="0" fontId="12" fillId="0" borderId="107" xfId="4" applyFont="1" applyBorder="1" applyAlignment="1">
      <alignment horizontal="center" vertical="center"/>
    </xf>
    <xf numFmtId="0" fontId="12" fillId="0" borderId="106" xfId="4" applyFont="1" applyBorder="1" applyAlignment="1">
      <alignment horizontal="left" vertical="center"/>
    </xf>
    <xf numFmtId="0" fontId="12" fillId="0" borderId="35" xfId="4" applyFont="1" applyBorder="1" applyAlignment="1">
      <alignment horizontal="left" vertical="center"/>
    </xf>
    <xf numFmtId="17" fontId="12" fillId="0" borderId="22" xfId="4" applyNumberFormat="1" applyFont="1" applyBorder="1" applyAlignment="1">
      <alignment horizontal="center" vertical="center"/>
    </xf>
    <xf numFmtId="0" fontId="12" fillId="0" borderId="108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0" borderId="109" xfId="4" applyFont="1" applyBorder="1" applyAlignment="1">
      <alignment horizontal="center" vertical="center"/>
    </xf>
    <xf numFmtId="0" fontId="2" fillId="5" borderId="128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5" borderId="101" xfId="1" applyFont="1" applyFill="1" applyBorder="1" applyAlignment="1">
      <alignment horizontal="center" vertical="center"/>
    </xf>
    <xf numFmtId="0" fontId="2" fillId="5" borderId="102" xfId="1" applyFont="1" applyFill="1" applyBorder="1" applyAlignment="1">
      <alignment horizontal="center" vertical="center"/>
    </xf>
    <xf numFmtId="0" fontId="2" fillId="5" borderId="101" xfId="1" applyFont="1" applyFill="1" applyBorder="1" applyAlignment="1">
      <alignment horizontal="center" vertical="center" wrapText="1"/>
    </xf>
    <xf numFmtId="0" fontId="2" fillId="5" borderId="102" xfId="1" applyFont="1" applyFill="1" applyBorder="1" applyAlignment="1">
      <alignment horizontal="center" vertical="center" wrapText="1"/>
    </xf>
    <xf numFmtId="0" fontId="2" fillId="5" borderId="126" xfId="1" applyFont="1" applyFill="1" applyBorder="1" applyAlignment="1">
      <alignment horizontal="center" vertical="center"/>
    </xf>
    <xf numFmtId="0" fontId="2" fillId="5" borderId="111" xfId="1" applyFont="1" applyFill="1" applyBorder="1" applyAlignment="1">
      <alignment horizontal="center" vertical="center"/>
    </xf>
    <xf numFmtId="0" fontId="2" fillId="5" borderId="97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3" fontId="4" fillId="0" borderId="9" xfId="1" applyNumberFormat="1" applyFont="1" applyBorder="1" applyAlignment="1" applyProtection="1">
      <alignment horizontal="center" vertical="center" wrapText="1"/>
      <protection locked="0"/>
    </xf>
    <xf numFmtId="3" fontId="4" fillId="0" borderId="7" xfId="1" applyNumberFormat="1" applyFont="1" applyBorder="1" applyAlignment="1" applyProtection="1">
      <alignment horizontal="center" vertical="center" wrapText="1"/>
      <protection locked="0"/>
    </xf>
    <xf numFmtId="3" fontId="4" fillId="0" borderId="142" xfId="1" applyNumberFormat="1" applyFont="1" applyBorder="1" applyAlignment="1" applyProtection="1">
      <alignment horizontal="center" vertical="center" wrapText="1"/>
      <protection locked="0"/>
    </xf>
    <xf numFmtId="3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3" fillId="2" borderId="9" xfId="1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9" xfId="1" applyNumberFormat="1" applyFont="1" applyFill="1" applyBorder="1" applyAlignment="1">
      <alignment horizontal="center" vertical="center" wrapText="1"/>
    </xf>
    <xf numFmtId="164" fontId="6" fillId="7" borderId="7" xfId="1" applyNumberFormat="1" applyFont="1" applyFill="1" applyBorder="1" applyAlignment="1">
      <alignment horizontal="center" vertical="center" wrapText="1"/>
    </xf>
    <xf numFmtId="3" fontId="4" fillId="4" borderId="141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30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128" xfId="25" applyNumberFormat="1" applyFont="1" applyFill="1" applyBorder="1" applyAlignment="1" applyProtection="1">
      <alignment horizontal="center" vertical="center" wrapText="1"/>
      <protection locked="0"/>
    </xf>
    <xf numFmtId="164" fontId="4" fillId="4" borderId="136" xfId="25" applyNumberFormat="1" applyFont="1" applyFill="1" applyBorder="1" applyAlignment="1" applyProtection="1">
      <alignment horizontal="center" vertical="center" wrapText="1"/>
      <protection locked="0"/>
    </xf>
    <xf numFmtId="0" fontId="2" fillId="5" borderId="101" xfId="1" applyFont="1" applyFill="1" applyBorder="1" applyAlignment="1" applyProtection="1">
      <alignment horizontal="center" vertical="center"/>
    </xf>
    <xf numFmtId="0" fontId="2" fillId="5" borderId="102" xfId="1" applyFont="1" applyFill="1" applyBorder="1" applyAlignment="1" applyProtection="1">
      <alignment horizontal="center" vertical="center"/>
    </xf>
    <xf numFmtId="164" fontId="6" fillId="3" borderId="128" xfId="1" applyNumberFormat="1" applyFont="1" applyFill="1" applyBorder="1" applyAlignment="1" applyProtection="1">
      <alignment horizontal="center" vertical="center" wrapText="1"/>
    </xf>
    <xf numFmtId="3" fontId="4" fillId="0" borderId="128" xfId="1" applyNumberFormat="1" applyFont="1" applyBorder="1" applyAlignment="1" applyProtection="1">
      <alignment horizontal="center" vertical="center" wrapText="1"/>
    </xf>
    <xf numFmtId="0" fontId="2" fillId="5" borderId="97" xfId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horizontal="center" vertical="center"/>
    </xf>
    <xf numFmtId="3" fontId="3" fillId="2" borderId="128" xfId="1" applyNumberFormat="1" applyFont="1" applyFill="1" applyBorder="1" applyAlignment="1" applyProtection="1">
      <alignment horizontal="center" vertical="center" wrapText="1"/>
    </xf>
    <xf numFmtId="0" fontId="2" fillId="19" borderId="97" xfId="1" applyFont="1" applyFill="1" applyBorder="1" applyAlignment="1" applyProtection="1">
      <alignment horizontal="center" vertical="center"/>
    </xf>
    <xf numFmtId="0" fontId="2" fillId="19" borderId="0" xfId="1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/>
    </xf>
    <xf numFmtId="0" fontId="2" fillId="5" borderId="101" xfId="1" applyFont="1" applyFill="1" applyBorder="1" applyAlignment="1" applyProtection="1">
      <alignment horizontal="center" vertical="center" wrapText="1"/>
    </xf>
    <xf numFmtId="0" fontId="2" fillId="5" borderId="102" xfId="1" applyFont="1" applyFill="1" applyBorder="1" applyAlignment="1" applyProtection="1">
      <alignment horizontal="center" vertical="center" wrapText="1"/>
    </xf>
    <xf numFmtId="0" fontId="2" fillId="5" borderId="128" xfId="1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1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09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2" fillId="0" borderId="90" xfId="4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26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5" builtinId="5"/>
    <cellStyle name="Porcentagem 2" xfId="2" xr:uid="{00000000-0005-0000-0000-000016000000}"/>
    <cellStyle name="Vírgula" xfId="24" builtinId="3"/>
    <cellStyle name="Vírgula 2" xfId="3" xr:uid="{00000000-0005-0000-0000-000018000000}"/>
    <cellStyle name="Vírgula 3" xfId="5" xr:uid="{00000000-0005-0000-0000-000019000000}"/>
  </cellStyles>
  <dxfs count="0"/>
  <tableStyles count="0" defaultTableStyle="TableStyleMedium2" defaultPivotStyle="PivotStyleLight16"/>
  <colors>
    <mruColors>
      <color rgb="FF00CC66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0</xdr:col>
      <xdr:colOff>819481</xdr:colOff>
      <xdr:row>3</xdr:row>
      <xdr:rowOff>28574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5725"/>
          <a:ext cx="619456" cy="5905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829006</xdr:colOff>
      <xdr:row>3</xdr:row>
      <xdr:rowOff>19049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76200"/>
          <a:ext cx="619456" cy="5905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0</xdr:col>
      <xdr:colOff>905206</xdr:colOff>
      <xdr:row>3</xdr:row>
      <xdr:rowOff>47624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4775"/>
          <a:ext cx="619456" cy="5905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771856</xdr:colOff>
      <xdr:row>3</xdr:row>
      <xdr:rowOff>57149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619456" cy="5905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0</xdr:col>
      <xdr:colOff>771856</xdr:colOff>
      <xdr:row>3</xdr:row>
      <xdr:rowOff>19049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76200"/>
          <a:ext cx="619456" cy="5905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0</xdr:col>
      <xdr:colOff>762331</xdr:colOff>
      <xdr:row>3</xdr:row>
      <xdr:rowOff>38099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0"/>
          <a:ext cx="619456" cy="59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85726</xdr:rowOff>
    </xdr:from>
    <xdr:to>
      <xdr:col>0</xdr:col>
      <xdr:colOff>800431</xdr:colOff>
      <xdr:row>3</xdr:row>
      <xdr:rowOff>28575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5726"/>
          <a:ext cx="619456" cy="590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0</xdr:col>
      <xdr:colOff>867106</xdr:colOff>
      <xdr:row>3</xdr:row>
      <xdr:rowOff>57149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14300"/>
          <a:ext cx="619456" cy="5905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0</xdr:col>
      <xdr:colOff>790906</xdr:colOff>
      <xdr:row>3</xdr:row>
      <xdr:rowOff>57149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619456" cy="5905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0</xdr:col>
      <xdr:colOff>733756</xdr:colOff>
      <xdr:row>3</xdr:row>
      <xdr:rowOff>57149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619456" cy="5905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0</xdr:col>
      <xdr:colOff>724231</xdr:colOff>
      <xdr:row>3</xdr:row>
      <xdr:rowOff>114299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33350"/>
          <a:ext cx="619456" cy="5905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771856</xdr:colOff>
      <xdr:row>3</xdr:row>
      <xdr:rowOff>57149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619456" cy="5905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123825</xdr:rowOff>
    </xdr:from>
    <xdr:to>
      <xdr:col>0</xdr:col>
      <xdr:colOff>876631</xdr:colOff>
      <xdr:row>3</xdr:row>
      <xdr:rowOff>66674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23825"/>
          <a:ext cx="619456" cy="5905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0</xdr:col>
      <xdr:colOff>733756</xdr:colOff>
      <xdr:row>3</xdr:row>
      <xdr:rowOff>28574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619456" cy="59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18"/>
  <sheetViews>
    <sheetView zoomScale="85" zoomScaleNormal="85" zoomScalePageLayoutView="85" workbookViewId="0">
      <selection activeCell="A2" sqref="A2:K2"/>
    </sheetView>
  </sheetViews>
  <sheetFormatPr defaultColWidth="8.85546875" defaultRowHeight="15" x14ac:dyDescent="0.25"/>
  <cols>
    <col min="1" max="1" width="63.140625" style="10" customWidth="1"/>
    <col min="2" max="2" width="11.42578125" style="10" bestFit="1" customWidth="1"/>
    <col min="3" max="3" width="10.5703125" style="10" bestFit="1" customWidth="1"/>
    <col min="4" max="4" width="11.42578125" style="10" bestFit="1" customWidth="1"/>
    <col min="5" max="5" width="10.5703125" style="10" bestFit="1" customWidth="1"/>
    <col min="6" max="6" width="11.42578125" style="10" bestFit="1" customWidth="1"/>
    <col min="7" max="7" width="10.5703125" style="10" bestFit="1" customWidth="1"/>
    <col min="8" max="8" width="11.42578125" style="10" bestFit="1" customWidth="1"/>
    <col min="9" max="9" width="10.5703125" style="10" bestFit="1" customWidth="1"/>
    <col min="10" max="10" width="11.42578125" style="10" bestFit="1" customWidth="1"/>
    <col min="11" max="11" width="10.5703125" style="10" bestFit="1" customWidth="1"/>
    <col min="12" max="12" width="11.42578125" style="10" bestFit="1" customWidth="1"/>
    <col min="13" max="13" width="10.5703125" style="10" bestFit="1" customWidth="1"/>
    <col min="14" max="14" width="11.42578125" style="10" bestFit="1" customWidth="1"/>
    <col min="15" max="15" width="10.5703125" style="10" bestFit="1" customWidth="1"/>
    <col min="16" max="16" width="11.42578125" style="10" bestFit="1" customWidth="1"/>
    <col min="17" max="17" width="10.5703125" style="10" bestFit="1" customWidth="1"/>
    <col min="18" max="18" width="11.42578125" style="10" bestFit="1" customWidth="1"/>
    <col min="19" max="19" width="10.5703125" style="10" bestFit="1" customWidth="1"/>
    <col min="20" max="20" width="11.42578125" style="10" bestFit="1" customWidth="1"/>
    <col min="21" max="21" width="10.5703125" style="10" bestFit="1" customWidth="1"/>
    <col min="22" max="22" width="11.42578125" style="10" bestFit="1" customWidth="1"/>
    <col min="23" max="23" width="10.5703125" style="10" bestFit="1" customWidth="1"/>
    <col min="24" max="24" width="11.42578125" style="10" bestFit="1" customWidth="1"/>
    <col min="25" max="25" width="10.5703125" style="10" bestFit="1" customWidth="1"/>
    <col min="26" max="16384" width="8.85546875" style="10"/>
  </cols>
  <sheetData>
    <row r="1" spans="1:25" ht="19.5" thickBot="1" x14ac:dyDescent="0.3">
      <c r="A1" s="590" t="s">
        <v>331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</row>
    <row r="2" spans="1:25" ht="19.5" customHeight="1" thickBot="1" x14ac:dyDescent="0.3">
      <c r="A2" s="592" t="s">
        <v>236</v>
      </c>
      <c r="B2" s="593"/>
      <c r="C2" s="593"/>
      <c r="D2" s="593"/>
      <c r="E2" s="593"/>
      <c r="F2" s="593"/>
      <c r="G2" s="593"/>
      <c r="H2" s="593"/>
      <c r="I2" s="593"/>
      <c r="J2" s="593"/>
      <c r="K2" s="594"/>
      <c r="L2" s="599" t="s">
        <v>134</v>
      </c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598"/>
    </row>
    <row r="3" spans="1:25" ht="15.75" thickBot="1" x14ac:dyDescent="0.3">
      <c r="A3" s="595" t="s">
        <v>19</v>
      </c>
      <c r="B3" s="597">
        <v>42248</v>
      </c>
      <c r="C3" s="598"/>
      <c r="D3" s="597">
        <v>42278</v>
      </c>
      <c r="E3" s="598"/>
      <c r="F3" s="597">
        <v>42309</v>
      </c>
      <c r="G3" s="598"/>
      <c r="H3" s="597">
        <v>42339</v>
      </c>
      <c r="I3" s="598"/>
      <c r="J3" s="597">
        <v>42370</v>
      </c>
      <c r="K3" s="598"/>
      <c r="L3" s="597">
        <v>42401</v>
      </c>
      <c r="M3" s="598"/>
      <c r="N3" s="597">
        <v>42430</v>
      </c>
      <c r="O3" s="598"/>
      <c r="P3" s="597">
        <v>42461</v>
      </c>
      <c r="Q3" s="598"/>
      <c r="R3" s="597">
        <v>42491</v>
      </c>
      <c r="S3" s="598"/>
      <c r="T3" s="597">
        <v>42522</v>
      </c>
      <c r="U3" s="598"/>
      <c r="V3" s="597">
        <v>42552</v>
      </c>
      <c r="W3" s="598"/>
      <c r="X3" s="597">
        <v>42583</v>
      </c>
      <c r="Y3" s="598"/>
    </row>
    <row r="4" spans="1:25" ht="57.75" customHeight="1" thickBot="1" x14ac:dyDescent="0.3">
      <c r="A4" s="596"/>
      <c r="B4" s="176" t="s">
        <v>20</v>
      </c>
      <c r="C4" s="177" t="s">
        <v>21</v>
      </c>
      <c r="D4" s="176" t="s">
        <v>20</v>
      </c>
      <c r="E4" s="177" t="s">
        <v>21</v>
      </c>
      <c r="F4" s="176" t="s">
        <v>20</v>
      </c>
      <c r="G4" s="177" t="s">
        <v>21</v>
      </c>
      <c r="H4" s="176" t="s">
        <v>20</v>
      </c>
      <c r="I4" s="177" t="s">
        <v>21</v>
      </c>
      <c r="J4" s="176" t="s">
        <v>20</v>
      </c>
      <c r="K4" s="177" t="s">
        <v>21</v>
      </c>
      <c r="L4" s="176" t="s">
        <v>20</v>
      </c>
      <c r="M4" s="177" t="s">
        <v>21</v>
      </c>
      <c r="N4" s="176" t="s">
        <v>20</v>
      </c>
      <c r="O4" s="177" t="s">
        <v>21</v>
      </c>
      <c r="P4" s="176" t="s">
        <v>20</v>
      </c>
      <c r="Q4" s="177" t="s">
        <v>21</v>
      </c>
      <c r="R4" s="176" t="s">
        <v>20</v>
      </c>
      <c r="S4" s="177" t="s">
        <v>21</v>
      </c>
      <c r="T4" s="176" t="s">
        <v>20</v>
      </c>
      <c r="U4" s="177" t="s">
        <v>21</v>
      </c>
      <c r="V4" s="176" t="s">
        <v>20</v>
      </c>
      <c r="W4" s="177" t="s">
        <v>21</v>
      </c>
      <c r="X4" s="176" t="s">
        <v>20</v>
      </c>
      <c r="Y4" s="177" t="s">
        <v>21</v>
      </c>
    </row>
    <row r="5" spans="1:25" ht="33" customHeight="1" thickTop="1" x14ac:dyDescent="0.25">
      <c r="A5" s="161" t="s">
        <v>22</v>
      </c>
      <c r="B5" s="164"/>
      <c r="C5" s="165"/>
      <c r="D5" s="164"/>
      <c r="E5" s="165"/>
      <c r="F5" s="164"/>
      <c r="G5" s="165"/>
      <c r="H5" s="275" t="s">
        <v>139</v>
      </c>
      <c r="I5" s="170">
        <f>IF(H5="SIM",20,0)</f>
        <v>20</v>
      </c>
      <c r="J5" s="275" t="s">
        <v>139</v>
      </c>
      <c r="K5" s="175">
        <f>IF(J5="SIM",20,0)</f>
        <v>20</v>
      </c>
      <c r="L5" s="275" t="s">
        <v>139</v>
      </c>
      <c r="M5" s="170">
        <f>IF(L5="SIM",20,0)</f>
        <v>20</v>
      </c>
      <c r="N5" s="169" t="s">
        <v>139</v>
      </c>
      <c r="O5" s="170">
        <f>IF(N5="SIM",20,0)</f>
        <v>20</v>
      </c>
      <c r="P5" s="169" t="s">
        <v>139</v>
      </c>
      <c r="Q5" s="172">
        <f>IF(P5="SIM",40,0)</f>
        <v>40</v>
      </c>
      <c r="R5" s="180" t="s">
        <v>139</v>
      </c>
      <c r="S5" s="170">
        <f>IF(R5="SIM",20,0)</f>
        <v>20</v>
      </c>
      <c r="T5" s="180" t="s">
        <v>139</v>
      </c>
      <c r="U5" s="170">
        <f>IF(T5="SIM",20,0)</f>
        <v>20</v>
      </c>
      <c r="V5" s="169" t="s">
        <v>139</v>
      </c>
      <c r="W5" s="170">
        <f>IF(V5="SIM",20,0)</f>
        <v>20</v>
      </c>
      <c r="X5" s="169"/>
      <c r="Y5" s="170">
        <f>IF(X5="SIM",20,0)</f>
        <v>0</v>
      </c>
    </row>
    <row r="6" spans="1:25" ht="33" customHeight="1" x14ac:dyDescent="0.25">
      <c r="A6" s="162" t="s">
        <v>23</v>
      </c>
      <c r="B6" s="166"/>
      <c r="C6" s="117"/>
      <c r="D6" s="166"/>
      <c r="E6" s="117"/>
      <c r="F6" s="166"/>
      <c r="G6" s="117"/>
      <c r="H6" s="171" t="s">
        <v>139</v>
      </c>
      <c r="I6" s="172">
        <f>IF(H6="SIM",40,0)</f>
        <v>40</v>
      </c>
      <c r="J6" s="166"/>
      <c r="K6" s="117"/>
      <c r="L6" s="166"/>
      <c r="M6" s="117"/>
      <c r="N6" s="171" t="s">
        <v>139</v>
      </c>
      <c r="O6" s="172">
        <f>IF(N6="SIM",40,0)</f>
        <v>40</v>
      </c>
      <c r="P6" s="166"/>
      <c r="Q6" s="179"/>
      <c r="R6" s="166"/>
      <c r="S6" s="179"/>
      <c r="T6" s="178" t="s">
        <v>139</v>
      </c>
      <c r="U6" s="170">
        <f>IF(T6="SIM",40,0)</f>
        <v>40</v>
      </c>
      <c r="V6" s="166"/>
      <c r="W6" s="179"/>
      <c r="X6" s="166"/>
      <c r="Y6" s="179"/>
    </row>
    <row r="7" spans="1:25" ht="33" customHeight="1" x14ac:dyDescent="0.25">
      <c r="A7" s="162" t="s">
        <v>24</v>
      </c>
      <c r="B7" s="166"/>
      <c r="C7" s="117"/>
      <c r="D7" s="166"/>
      <c r="E7" s="117"/>
      <c r="F7" s="166"/>
      <c r="G7" s="117"/>
      <c r="H7" s="166"/>
      <c r="I7" s="173"/>
      <c r="J7" s="166"/>
      <c r="K7" s="117"/>
      <c r="L7" s="166"/>
      <c r="M7" s="117"/>
      <c r="N7" s="166"/>
      <c r="O7" s="117"/>
      <c r="P7" s="166"/>
      <c r="Q7" s="179"/>
      <c r="R7" s="178" t="s">
        <v>139</v>
      </c>
      <c r="S7" s="172">
        <f>IF(R7="SIM",60,0)</f>
        <v>60</v>
      </c>
      <c r="T7" s="166"/>
      <c r="U7" s="179"/>
      <c r="V7" s="166"/>
      <c r="W7" s="179"/>
      <c r="X7" s="166"/>
      <c r="Y7" s="179"/>
    </row>
    <row r="8" spans="1:25" ht="33" customHeight="1" x14ac:dyDescent="0.25">
      <c r="A8" s="162" t="s">
        <v>25</v>
      </c>
      <c r="B8" s="166"/>
      <c r="C8" s="117"/>
      <c r="D8" s="166"/>
      <c r="E8" s="117"/>
      <c r="F8" s="166"/>
      <c r="G8" s="117"/>
      <c r="H8" s="166"/>
      <c r="I8" s="173"/>
      <c r="J8" s="166"/>
      <c r="K8" s="117"/>
      <c r="L8" s="171" t="s">
        <v>139</v>
      </c>
      <c r="M8" s="116">
        <f>IF(L8="SIM",60,0)</f>
        <v>60</v>
      </c>
      <c r="N8" s="166"/>
      <c r="O8" s="117"/>
      <c r="P8" s="166"/>
      <c r="Q8" s="179"/>
      <c r="R8" s="166"/>
      <c r="S8" s="179"/>
      <c r="T8" s="166"/>
      <c r="U8" s="179"/>
      <c r="V8" s="166"/>
      <c r="W8" s="179"/>
      <c r="X8" s="178"/>
      <c r="Y8" s="170">
        <f>IF(X8="SIM",60,0)</f>
        <v>0</v>
      </c>
    </row>
    <row r="9" spans="1:25" ht="33" customHeight="1" x14ac:dyDescent="0.25">
      <c r="A9" s="162" t="s">
        <v>26</v>
      </c>
      <c r="B9" s="166"/>
      <c r="C9" s="117"/>
      <c r="D9" s="166"/>
      <c r="E9" s="117"/>
      <c r="F9" s="166"/>
      <c r="G9" s="117"/>
      <c r="H9" s="166"/>
      <c r="I9" s="173"/>
      <c r="J9" s="275" t="s">
        <v>139</v>
      </c>
      <c r="K9" s="116">
        <f>IF(J9="SIM",60,0)</f>
        <v>60</v>
      </c>
      <c r="L9" s="166"/>
      <c r="M9" s="117"/>
      <c r="N9" s="166"/>
      <c r="O9" s="117"/>
      <c r="P9" s="178" t="s">
        <v>139</v>
      </c>
      <c r="Q9" s="172">
        <f>IF(P9="SIM",40,0)</f>
        <v>40</v>
      </c>
      <c r="R9" s="166"/>
      <c r="S9" s="179"/>
      <c r="T9" s="166"/>
      <c r="U9" s="179"/>
      <c r="V9" s="178" t="s">
        <v>139</v>
      </c>
      <c r="W9" s="170">
        <f>IF(V9="SIM",60,0)</f>
        <v>60</v>
      </c>
      <c r="X9" s="166"/>
      <c r="Y9" s="179"/>
    </row>
    <row r="10" spans="1:25" ht="33" customHeight="1" x14ac:dyDescent="0.25">
      <c r="A10" s="162" t="s">
        <v>27</v>
      </c>
      <c r="B10" s="166"/>
      <c r="C10" s="117"/>
      <c r="D10" s="166"/>
      <c r="E10" s="117"/>
      <c r="F10" s="166"/>
      <c r="G10" s="117"/>
      <c r="H10" s="275" t="s">
        <v>139</v>
      </c>
      <c r="I10" s="172">
        <f>IF(H10="SIM",20,0)</f>
        <v>20</v>
      </c>
      <c r="J10" s="166"/>
      <c r="K10" s="117"/>
      <c r="L10" s="166"/>
      <c r="M10" s="117"/>
      <c r="N10" s="178" t="s">
        <v>139</v>
      </c>
      <c r="O10" s="172">
        <f>IF(N10="SIM",40,0)</f>
        <v>40</v>
      </c>
      <c r="P10" s="166"/>
      <c r="Q10" s="179"/>
      <c r="R10" s="166"/>
      <c r="S10" s="179"/>
      <c r="T10" s="178" t="s">
        <v>139</v>
      </c>
      <c r="U10" s="170">
        <f>IF(T10="SIM",40,0)</f>
        <v>40</v>
      </c>
      <c r="V10" s="166"/>
      <c r="W10" s="179"/>
      <c r="X10" s="166"/>
      <c r="Y10" s="179"/>
    </row>
    <row r="11" spans="1:25" ht="33" customHeight="1" x14ac:dyDescent="0.25">
      <c r="A11" s="162" t="s">
        <v>28</v>
      </c>
      <c r="B11" s="166"/>
      <c r="C11" s="117"/>
      <c r="D11" s="166"/>
      <c r="E11" s="117"/>
      <c r="F11" s="166"/>
      <c r="G11" s="117"/>
      <c r="H11" s="275" t="s">
        <v>139</v>
      </c>
      <c r="I11" s="172">
        <f>IF(H11="SIM",20,0)</f>
        <v>20</v>
      </c>
      <c r="J11" s="166"/>
      <c r="K11" s="117"/>
      <c r="L11" s="171" t="s">
        <v>139</v>
      </c>
      <c r="M11" s="170">
        <f>IF(L11="SIM",20,0)</f>
        <v>20</v>
      </c>
      <c r="N11" s="166"/>
      <c r="O11" s="117"/>
      <c r="P11" s="166"/>
      <c r="Q11" s="179"/>
      <c r="R11" s="178" t="s">
        <v>139</v>
      </c>
      <c r="S11" s="170">
        <f>IF(R11="SIM",20,0)</f>
        <v>20</v>
      </c>
      <c r="T11" s="166"/>
      <c r="U11" s="179"/>
      <c r="V11" s="166"/>
      <c r="W11" s="179"/>
      <c r="X11" s="178"/>
      <c r="Y11" s="170">
        <f>IF(X11="SIM",20,0)</f>
        <v>0</v>
      </c>
    </row>
    <row r="12" spans="1:25" ht="33" customHeight="1" x14ac:dyDescent="0.25">
      <c r="A12" s="162" t="s">
        <v>29</v>
      </c>
      <c r="B12" s="166"/>
      <c r="C12" s="117"/>
      <c r="D12" s="166"/>
      <c r="E12" s="117"/>
      <c r="F12" s="166"/>
      <c r="G12" s="117"/>
      <c r="H12" s="166"/>
      <c r="I12" s="173"/>
      <c r="J12" s="171"/>
      <c r="K12" s="116">
        <f>IF(J12="SIM",20,0)</f>
        <v>0</v>
      </c>
      <c r="L12" s="166"/>
      <c r="M12" s="117"/>
      <c r="N12" s="166"/>
      <c r="O12" s="117"/>
      <c r="P12" s="178" t="s">
        <v>139</v>
      </c>
      <c r="Q12" s="170">
        <f>IF(P12="SIM",20,0)</f>
        <v>20</v>
      </c>
      <c r="R12" s="166"/>
      <c r="S12" s="179"/>
      <c r="T12" s="166"/>
      <c r="U12" s="179"/>
      <c r="V12" s="178" t="s">
        <v>139</v>
      </c>
      <c r="W12" s="170">
        <f>IF(V12="SIM",20,0)</f>
        <v>20</v>
      </c>
      <c r="X12" s="166"/>
      <c r="Y12" s="179"/>
    </row>
    <row r="13" spans="1:25" ht="23.25" customHeight="1" thickBot="1" x14ac:dyDescent="0.3">
      <c r="A13" s="163" t="s">
        <v>6</v>
      </c>
      <c r="B13" s="167"/>
      <c r="C13" s="168"/>
      <c r="D13" s="167"/>
      <c r="E13" s="168"/>
      <c r="F13" s="167"/>
      <c r="G13" s="168"/>
      <c r="H13" s="167"/>
      <c r="I13" s="174">
        <f>SUM(I5:I12)</f>
        <v>100</v>
      </c>
      <c r="J13" s="167"/>
      <c r="K13" s="118">
        <f>SUM(K5:K12)</f>
        <v>80</v>
      </c>
      <c r="L13" s="167"/>
      <c r="M13" s="174">
        <f>SUM(M5:M12)</f>
        <v>100</v>
      </c>
      <c r="N13" s="167"/>
      <c r="O13" s="174">
        <f>SUM(O5:O12)</f>
        <v>100</v>
      </c>
      <c r="P13" s="167"/>
      <c r="Q13" s="174">
        <f>SUM(Q5:Q12)</f>
        <v>100</v>
      </c>
      <c r="R13" s="167"/>
      <c r="S13" s="174">
        <f>SUM(S5:S12)</f>
        <v>100</v>
      </c>
      <c r="T13" s="167"/>
      <c r="U13" s="174">
        <f>SUM(U5:U12)</f>
        <v>100</v>
      </c>
      <c r="V13" s="167"/>
      <c r="W13" s="174">
        <f>SUM(W5:W12)</f>
        <v>100</v>
      </c>
      <c r="X13" s="167"/>
      <c r="Y13" s="174">
        <f>SUM(Y5:Y12)</f>
        <v>0</v>
      </c>
    </row>
    <row r="15" spans="1:25" ht="28.5" x14ac:dyDescent="0.25">
      <c r="A15" s="11" t="s">
        <v>30</v>
      </c>
    </row>
    <row r="16" spans="1:25" x14ac:dyDescent="0.25">
      <c r="A16" s="11" t="s">
        <v>31</v>
      </c>
    </row>
    <row r="18" spans="1:1" x14ac:dyDescent="0.25">
      <c r="A18" s="12" t="s">
        <v>32</v>
      </c>
    </row>
  </sheetData>
  <mergeCells count="16">
    <mergeCell ref="A1:Y1"/>
    <mergeCell ref="A2:K2"/>
    <mergeCell ref="A3:A4"/>
    <mergeCell ref="B3:C3"/>
    <mergeCell ref="D3:E3"/>
    <mergeCell ref="F3:G3"/>
    <mergeCell ref="H3:I3"/>
    <mergeCell ref="J3:K3"/>
    <mergeCell ref="X3:Y3"/>
    <mergeCell ref="L2:Y2"/>
    <mergeCell ref="L3:M3"/>
    <mergeCell ref="N3:O3"/>
    <mergeCell ref="P3:Q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scale="4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2:R46"/>
  <sheetViews>
    <sheetView showGridLines="0" view="pageBreakPreview" zoomScale="90" zoomScaleNormal="100" zoomScaleSheetLayoutView="90" workbookViewId="0">
      <selection activeCell="A6" sqref="A6"/>
    </sheetView>
  </sheetViews>
  <sheetFormatPr defaultColWidth="8.85546875" defaultRowHeight="15" x14ac:dyDescent="0.25"/>
  <cols>
    <col min="1" max="1" width="34.42578125" customWidth="1"/>
    <col min="2" max="3" width="9" bestFit="1" customWidth="1"/>
    <col min="4" max="4" width="8.28515625" bestFit="1" customWidth="1"/>
    <col min="5" max="5" width="9" bestFit="1" customWidth="1"/>
    <col min="6" max="6" width="8.28515625" bestFit="1" customWidth="1"/>
    <col min="7" max="7" width="9" bestFit="1" customWidth="1"/>
    <col min="8" max="8" width="8.28515625" bestFit="1" customWidth="1"/>
    <col min="9" max="9" width="9.7109375" customWidth="1"/>
    <col min="10" max="10" width="8.28515625" bestFit="1" customWidth="1"/>
    <col min="11" max="11" width="9" bestFit="1" customWidth="1"/>
    <col min="12" max="12" width="8.28515625" bestFit="1" customWidth="1"/>
    <col min="13" max="13" width="9" bestFit="1" customWidth="1"/>
    <col min="14" max="14" width="8.28515625" bestFit="1" customWidth="1"/>
    <col min="15" max="15" width="9" bestFit="1" customWidth="1"/>
    <col min="16" max="16" width="8.28515625" bestFit="1" customWidth="1"/>
    <col min="17" max="17" width="9.5703125" customWidth="1"/>
    <col min="18" max="18" width="8.28515625" bestFit="1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5.75" x14ac:dyDescent="0.25">
      <c r="A5" s="603" t="s">
        <v>208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</row>
    <row r="6" spans="1:18" ht="24.75" thickBot="1" x14ac:dyDescent="0.3">
      <c r="A6" s="99" t="s">
        <v>12</v>
      </c>
      <c r="B6" s="100" t="s">
        <v>13</v>
      </c>
      <c r="C6" s="111" t="str">
        <f>'UBS Vila Dalva'!C6</f>
        <v>JUL</v>
      </c>
      <c r="D6" s="112" t="str">
        <f>'UBS Vila Dalva'!D6</f>
        <v>%</v>
      </c>
      <c r="E6" s="111" t="str">
        <f>'UBS Vila Dalva'!E6</f>
        <v>AGO</v>
      </c>
      <c r="F6" s="112" t="str">
        <f>'UBS Vila Dalva'!F6</f>
        <v>%</v>
      </c>
      <c r="G6" s="111" t="str">
        <f>'UBS Vila Dalva'!G6</f>
        <v>SET</v>
      </c>
      <c r="H6" s="112" t="str">
        <f>'UBS Vila Dalva'!H6</f>
        <v>%</v>
      </c>
      <c r="I6" s="113" t="str">
        <f>'UBS Vila Dalva'!I6</f>
        <v>Trimestre</v>
      </c>
      <c r="J6" s="113" t="str">
        <f>'UBS Vila Dalva'!J6</f>
        <v>%</v>
      </c>
      <c r="K6" s="111" t="str">
        <f>'UBS Vila Dalva'!K6</f>
        <v>OUT</v>
      </c>
      <c r="L6" s="112" t="str">
        <f>'UBS Vila Dalva'!L6</f>
        <v>%</v>
      </c>
      <c r="M6" s="111" t="str">
        <f>'UBS Vila Dalva'!M6</f>
        <v>NOV</v>
      </c>
      <c r="N6" s="112" t="str">
        <f>'UBS Vila Dalva'!N6</f>
        <v>%</v>
      </c>
      <c r="O6" s="111" t="str">
        <f>'UBS Vila Dalva'!O6</f>
        <v>DEZ</v>
      </c>
      <c r="P6" s="112" t="str">
        <f>'UBS Vila Dalva'!P6</f>
        <v>%</v>
      </c>
      <c r="Q6" s="113" t="str">
        <f>'UBS Vila Dalva'!Q6</f>
        <v>Trimestre</v>
      </c>
      <c r="R6" s="113" t="str">
        <f>'UBS Vila Dalva'!R6</f>
        <v>%</v>
      </c>
    </row>
    <row r="7" spans="1:18" ht="15.75" thickTop="1" x14ac:dyDescent="0.25">
      <c r="A7" s="101" t="s">
        <v>151</v>
      </c>
      <c r="B7" s="3">
        <v>7200</v>
      </c>
      <c r="C7" s="4">
        <v>5727</v>
      </c>
      <c r="D7" s="7">
        <f>((C7/$B7))-1</f>
        <v>-0.20458333333333334</v>
      </c>
      <c r="E7" s="194">
        <v>6083</v>
      </c>
      <c r="F7" s="7">
        <f>((E7/$B7))-1</f>
        <v>-0.15513888888888894</v>
      </c>
      <c r="G7" s="194">
        <v>5596</v>
      </c>
      <c r="H7" s="7">
        <f>((G7/$B7))-1</f>
        <v>-0.22277777777777774</v>
      </c>
      <c r="I7" s="5">
        <f>C7+E7+G7</f>
        <v>17406</v>
      </c>
      <c r="J7" s="8">
        <f>((I7/(3*$B7)))-1</f>
        <v>-0.19416666666666671</v>
      </c>
      <c r="K7" s="194">
        <v>6484</v>
      </c>
      <c r="L7" s="7">
        <f>((K7/$B7))-1</f>
        <v>-9.9444444444444446E-2</v>
      </c>
      <c r="M7" s="194">
        <v>6714</v>
      </c>
      <c r="N7" s="7">
        <f>((M7/$B7))-1</f>
        <v>-6.7500000000000004E-2</v>
      </c>
      <c r="O7" s="194">
        <v>6241</v>
      </c>
      <c r="P7" s="7">
        <f>((O7/$B7))-1</f>
        <v>-0.13319444444444439</v>
      </c>
      <c r="Q7" s="5">
        <f>K7+M7+O7</f>
        <v>19439</v>
      </c>
      <c r="R7" s="8">
        <f>((Q7/(3*$B7)))-1</f>
        <v>-0.10004629629629624</v>
      </c>
    </row>
    <row r="8" spans="1:18" x14ac:dyDescent="0.25">
      <c r="A8" s="101" t="s">
        <v>152</v>
      </c>
      <c r="B8" s="102">
        <v>2496</v>
      </c>
      <c r="C8" s="103">
        <v>1402</v>
      </c>
      <c r="D8" s="7">
        <f t="shared" ref="D8:D13" si="0">((C8/$B8))-1</f>
        <v>-0.43830128205128205</v>
      </c>
      <c r="E8" s="285">
        <v>1170</v>
      </c>
      <c r="F8" s="7">
        <f t="shared" ref="F8:F15" si="1">((E8/$B8))-1</f>
        <v>-0.53125</v>
      </c>
      <c r="G8" s="285">
        <v>1303</v>
      </c>
      <c r="H8" s="7">
        <f>((G8/$B8))-1</f>
        <v>-0.47796474358974361</v>
      </c>
      <c r="I8" s="5">
        <f t="shared" ref="I8:I14" si="2">C8+E8+G8</f>
        <v>3875</v>
      </c>
      <c r="J8" s="8">
        <f t="shared" ref="J8:J14" si="3">((I8/(3*$B8)))-1</f>
        <v>-0.48250534188034189</v>
      </c>
      <c r="K8" s="285">
        <v>1462</v>
      </c>
      <c r="L8" s="7">
        <f t="shared" ref="L8:L14" si="4">((K8/$B8))-1</f>
        <v>-0.41426282051282048</v>
      </c>
      <c r="M8" s="285">
        <v>1398</v>
      </c>
      <c r="N8" s="7">
        <f>((M8/$B8))-1</f>
        <v>-0.43990384615384615</v>
      </c>
      <c r="O8" s="285">
        <v>1373</v>
      </c>
      <c r="P8" s="7">
        <f>((O8/$B8))-1</f>
        <v>-0.44991987179487181</v>
      </c>
      <c r="Q8" s="5">
        <f t="shared" ref="Q8:Q14" si="5">K8+M8+O8</f>
        <v>4233</v>
      </c>
      <c r="R8" s="8">
        <f t="shared" ref="R8:R14" si="6">((Q8/(3*$B8)))-1</f>
        <v>-0.43469551282051277</v>
      </c>
    </row>
    <row r="9" spans="1:18" x14ac:dyDescent="0.25">
      <c r="A9" s="101" t="s">
        <v>153</v>
      </c>
      <c r="B9" s="102">
        <v>936</v>
      </c>
      <c r="C9" s="103">
        <v>1187</v>
      </c>
      <c r="D9" s="7">
        <f t="shared" si="0"/>
        <v>0.2681623931623931</v>
      </c>
      <c r="E9" s="285">
        <v>1116</v>
      </c>
      <c r="F9" s="7">
        <f t="shared" si="1"/>
        <v>0.19230769230769229</v>
      </c>
      <c r="G9" s="285">
        <v>990</v>
      </c>
      <c r="H9" s="7">
        <f t="shared" ref="H9:H15" si="7">((G9/$B9))-1</f>
        <v>5.7692307692307709E-2</v>
      </c>
      <c r="I9" s="5">
        <f t="shared" si="2"/>
        <v>3293</v>
      </c>
      <c r="J9" s="8">
        <f t="shared" si="3"/>
        <v>0.17272079772079763</v>
      </c>
      <c r="K9" s="285">
        <v>1152</v>
      </c>
      <c r="L9" s="7">
        <f t="shared" si="4"/>
        <v>0.23076923076923084</v>
      </c>
      <c r="M9" s="285">
        <v>1664</v>
      </c>
      <c r="N9" s="7">
        <f t="shared" ref="N9:N14" si="8">((M9/$B9))-1</f>
        <v>0.77777777777777768</v>
      </c>
      <c r="O9" s="285">
        <v>1282</v>
      </c>
      <c r="P9" s="7">
        <f t="shared" ref="P9:P15" si="9">((O9/$B9))-1</f>
        <v>0.36965811965811968</v>
      </c>
      <c r="Q9" s="5">
        <f t="shared" si="5"/>
        <v>4098</v>
      </c>
      <c r="R9" s="8">
        <f t="shared" si="6"/>
        <v>0.45940170940170932</v>
      </c>
    </row>
    <row r="10" spans="1:18" x14ac:dyDescent="0.25">
      <c r="A10" s="367" t="s">
        <v>154</v>
      </c>
      <c r="B10" s="312">
        <v>526</v>
      </c>
      <c r="C10" s="299">
        <v>1953</v>
      </c>
      <c r="D10" s="347">
        <f t="shared" si="0"/>
        <v>2.7129277566539924</v>
      </c>
      <c r="E10" s="299">
        <v>679</v>
      </c>
      <c r="F10" s="347">
        <f t="shared" si="1"/>
        <v>0.290874524714829</v>
      </c>
      <c r="G10" s="299">
        <v>630</v>
      </c>
      <c r="H10" s="347">
        <f t="shared" si="7"/>
        <v>0.19771863117870714</v>
      </c>
      <c r="I10" s="348">
        <f t="shared" si="2"/>
        <v>3262</v>
      </c>
      <c r="J10" s="349">
        <f t="shared" si="3"/>
        <v>1.0671736375158427</v>
      </c>
      <c r="K10" s="299">
        <v>844</v>
      </c>
      <c r="L10" s="347">
        <f t="shared" si="4"/>
        <v>0.6045627376425855</v>
      </c>
      <c r="M10" s="299">
        <v>892</v>
      </c>
      <c r="N10" s="347">
        <f t="shared" si="8"/>
        <v>0.69581749049429664</v>
      </c>
      <c r="O10" s="299">
        <v>522</v>
      </c>
      <c r="P10" s="347">
        <f t="shared" si="9"/>
        <v>-7.6045627376425395E-3</v>
      </c>
      <c r="Q10" s="348">
        <f t="shared" si="5"/>
        <v>2258</v>
      </c>
      <c r="R10" s="349">
        <f t="shared" si="6"/>
        <v>0.43092522179974657</v>
      </c>
    </row>
    <row r="11" spans="1:18" x14ac:dyDescent="0.25">
      <c r="A11" s="303" t="s">
        <v>155</v>
      </c>
      <c r="B11" s="311">
        <v>789</v>
      </c>
      <c r="C11" s="305">
        <v>772</v>
      </c>
      <c r="D11" s="309">
        <f t="shared" si="0"/>
        <v>-2.1546261089987362E-2</v>
      </c>
      <c r="E11" s="305">
        <v>304</v>
      </c>
      <c r="F11" s="309">
        <f t="shared" si="1"/>
        <v>-0.614702154626109</v>
      </c>
      <c r="G11" s="305">
        <v>233</v>
      </c>
      <c r="H11" s="309">
        <f t="shared" si="7"/>
        <v>-0.70468948035487955</v>
      </c>
      <c r="I11" s="307">
        <f t="shared" si="2"/>
        <v>1309</v>
      </c>
      <c r="J11" s="314">
        <f t="shared" si="3"/>
        <v>-0.44697929869032527</v>
      </c>
      <c r="K11" s="305">
        <v>337</v>
      </c>
      <c r="L11" s="309">
        <f t="shared" si="4"/>
        <v>-0.57287705956907475</v>
      </c>
      <c r="M11" s="305">
        <v>208</v>
      </c>
      <c r="N11" s="309">
        <f t="shared" si="8"/>
        <v>-0.73637515842839041</v>
      </c>
      <c r="O11" s="305">
        <v>268</v>
      </c>
      <c r="P11" s="309">
        <f t="shared" si="9"/>
        <v>-0.66032953105196457</v>
      </c>
      <c r="Q11" s="307">
        <f t="shared" si="5"/>
        <v>813</v>
      </c>
      <c r="R11" s="314">
        <f t="shared" si="6"/>
        <v>-0.65652724968314324</v>
      </c>
    </row>
    <row r="12" spans="1:18" x14ac:dyDescent="0.25">
      <c r="A12" s="303" t="s">
        <v>156</v>
      </c>
      <c r="B12" s="311">
        <v>789</v>
      </c>
      <c r="C12" s="305">
        <v>369</v>
      </c>
      <c r="D12" s="309">
        <f t="shared" si="0"/>
        <v>-0.53231939163498099</v>
      </c>
      <c r="E12" s="305">
        <v>403</v>
      </c>
      <c r="F12" s="309">
        <f t="shared" si="1"/>
        <v>-0.48922686945500637</v>
      </c>
      <c r="G12" s="305">
        <v>554</v>
      </c>
      <c r="H12" s="309">
        <f t="shared" si="7"/>
        <v>-0.2978453738910013</v>
      </c>
      <c r="I12" s="307">
        <f t="shared" si="2"/>
        <v>1326</v>
      </c>
      <c r="J12" s="314">
        <f t="shared" si="3"/>
        <v>-0.43979721166032948</v>
      </c>
      <c r="K12" s="305">
        <v>362</v>
      </c>
      <c r="L12" s="309">
        <f t="shared" si="4"/>
        <v>-0.54119138149556401</v>
      </c>
      <c r="M12" s="305">
        <v>99</v>
      </c>
      <c r="N12" s="309">
        <f t="shared" si="8"/>
        <v>-0.87452471482889738</v>
      </c>
      <c r="O12" s="305">
        <v>232</v>
      </c>
      <c r="P12" s="309">
        <f t="shared" si="9"/>
        <v>-0.70595690747782003</v>
      </c>
      <c r="Q12" s="307">
        <f t="shared" si="5"/>
        <v>693</v>
      </c>
      <c r="R12" s="314">
        <f t="shared" si="6"/>
        <v>-0.70722433460076051</v>
      </c>
    </row>
    <row r="13" spans="1:18" ht="24" x14ac:dyDescent="0.25">
      <c r="A13" s="438" t="s">
        <v>178</v>
      </c>
      <c r="B13" s="396">
        <v>208</v>
      </c>
      <c r="C13" s="305">
        <v>37</v>
      </c>
      <c r="D13" s="338">
        <f t="shared" si="0"/>
        <v>-0.82211538461538458</v>
      </c>
      <c r="E13" s="305">
        <v>10</v>
      </c>
      <c r="F13" s="338">
        <f t="shared" si="1"/>
        <v>-0.95192307692307687</v>
      </c>
      <c r="G13" s="305">
        <v>190</v>
      </c>
      <c r="H13" s="397">
        <f t="shared" si="7"/>
        <v>-8.6538461538461564E-2</v>
      </c>
      <c r="I13" s="307">
        <f t="shared" si="2"/>
        <v>237</v>
      </c>
      <c r="J13" s="339">
        <f t="shared" si="3"/>
        <v>-0.62019230769230771</v>
      </c>
      <c r="K13" s="305">
        <v>158</v>
      </c>
      <c r="L13" s="338">
        <f t="shared" si="4"/>
        <v>-0.24038461538461542</v>
      </c>
      <c r="M13" s="305">
        <v>0</v>
      </c>
      <c r="N13" s="338">
        <f t="shared" si="8"/>
        <v>-1</v>
      </c>
      <c r="O13" s="305">
        <v>0</v>
      </c>
      <c r="P13" s="397">
        <f t="shared" si="9"/>
        <v>-1</v>
      </c>
      <c r="Q13" s="307">
        <f t="shared" si="5"/>
        <v>158</v>
      </c>
      <c r="R13" s="339">
        <f t="shared" si="6"/>
        <v>-0.74679487179487181</v>
      </c>
    </row>
    <row r="14" spans="1:18" ht="15.75" thickBot="1" x14ac:dyDescent="0.3">
      <c r="A14" s="589" t="s">
        <v>8</v>
      </c>
      <c r="B14" s="398">
        <v>1248</v>
      </c>
      <c r="C14" s="326">
        <v>102</v>
      </c>
      <c r="D14" s="327">
        <f>((C14/$B$14))-1</f>
        <v>-0.91826923076923073</v>
      </c>
      <c r="E14" s="326">
        <v>17</v>
      </c>
      <c r="F14" s="381">
        <f t="shared" si="1"/>
        <v>-0.98637820512820518</v>
      </c>
      <c r="G14" s="326">
        <v>99</v>
      </c>
      <c r="H14" s="399">
        <f t="shared" si="7"/>
        <v>-0.92067307692307687</v>
      </c>
      <c r="I14" s="328">
        <f t="shared" si="2"/>
        <v>218</v>
      </c>
      <c r="J14" s="383">
        <f t="shared" si="3"/>
        <v>-0.94177350427350426</v>
      </c>
      <c r="K14" s="326">
        <v>127</v>
      </c>
      <c r="L14" s="381">
        <f t="shared" si="4"/>
        <v>-0.89823717948717952</v>
      </c>
      <c r="M14" s="326">
        <v>0</v>
      </c>
      <c r="N14" s="381">
        <f t="shared" si="8"/>
        <v>-1</v>
      </c>
      <c r="O14" s="326">
        <v>0</v>
      </c>
      <c r="P14" s="399">
        <f t="shared" si="9"/>
        <v>-1</v>
      </c>
      <c r="Q14" s="328">
        <f t="shared" si="5"/>
        <v>127</v>
      </c>
      <c r="R14" s="383">
        <f t="shared" si="6"/>
        <v>-0.96607905982905984</v>
      </c>
    </row>
    <row r="15" spans="1:18" ht="15.75" thickBot="1" x14ac:dyDescent="0.3">
      <c r="A15" s="44" t="s">
        <v>6</v>
      </c>
      <c r="B15" s="46">
        <f>SUM(B6:B14)</f>
        <v>14192</v>
      </c>
      <c r="C15" s="48">
        <f>SUM(C7:C14)</f>
        <v>11549</v>
      </c>
      <c r="D15" s="52">
        <f>((C15/$B15))-1</f>
        <v>-0.18623167981961664</v>
      </c>
      <c r="E15" s="48">
        <f>SUM(E7:E14)</f>
        <v>9782</v>
      </c>
      <c r="F15" s="52">
        <f t="shared" si="1"/>
        <v>-0.31073844419391206</v>
      </c>
      <c r="G15" s="48">
        <f>SUM(G7:G14)</f>
        <v>9595</v>
      </c>
      <c r="H15" s="52">
        <f t="shared" si="7"/>
        <v>-0.32391488162344984</v>
      </c>
      <c r="I15" s="47">
        <f>C15+E15+G15</f>
        <v>30926</v>
      </c>
      <c r="J15" s="53">
        <f>((I15/(3*$B15)))-1</f>
        <v>-0.27362833521232621</v>
      </c>
      <c r="K15" s="48">
        <f>SUM(K7:K14)</f>
        <v>10926</v>
      </c>
      <c r="L15" s="52">
        <f>((K15/$B15))-1</f>
        <v>-0.23012965050732803</v>
      </c>
      <c r="M15" s="48">
        <f>SUM(M7:M14)</f>
        <v>10975</v>
      </c>
      <c r="N15" s="52">
        <f>((M15/$B15))-1</f>
        <v>-0.22667700112739575</v>
      </c>
      <c r="O15" s="48">
        <f>SUM(O7:O14)</f>
        <v>9918</v>
      </c>
      <c r="P15" s="52">
        <f t="shared" si="9"/>
        <v>-0.30115558060879366</v>
      </c>
      <c r="Q15" s="47">
        <f>K15+M15+O15</f>
        <v>31819</v>
      </c>
      <c r="R15" s="377">
        <f>((Q15/(3*$B15)))-1</f>
        <v>-0.25265407741450585</v>
      </c>
    </row>
    <row r="16" spans="1:18" x14ac:dyDescent="0.25">
      <c r="A16" s="336"/>
      <c r="B16" s="304"/>
      <c r="C16" s="337"/>
      <c r="D16" s="323"/>
      <c r="E16" s="337"/>
      <c r="F16" s="323"/>
      <c r="G16" s="337"/>
      <c r="H16" s="323"/>
      <c r="I16" s="302"/>
      <c r="J16" s="324"/>
      <c r="K16" s="337"/>
      <c r="L16" s="323"/>
      <c r="M16" s="337"/>
      <c r="N16" s="323"/>
      <c r="O16" s="337"/>
      <c r="P16" s="323"/>
      <c r="Q16" s="302"/>
      <c r="R16" s="324"/>
    </row>
    <row r="17" spans="1:18" ht="15.75" hidden="1" x14ac:dyDescent="0.25">
      <c r="A17" s="609" t="s">
        <v>220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</row>
    <row r="18" spans="1:18" ht="24.75" hidden="1" thickBot="1" x14ac:dyDescent="0.3">
      <c r="A18" s="90" t="s">
        <v>12</v>
      </c>
      <c r="B18" s="91" t="s">
        <v>13</v>
      </c>
      <c r="C18" s="111" t="str">
        <f t="shared" ref="C18:R18" si="10">C6</f>
        <v>JUL</v>
      </c>
      <c r="D18" s="112" t="str">
        <f t="shared" si="10"/>
        <v>%</v>
      </c>
      <c r="E18" s="111" t="str">
        <f t="shared" si="10"/>
        <v>AGO</v>
      </c>
      <c r="F18" s="112" t="str">
        <f t="shared" si="10"/>
        <v>%</v>
      </c>
      <c r="G18" s="111" t="str">
        <f t="shared" si="10"/>
        <v>SET</v>
      </c>
      <c r="H18" s="112" t="str">
        <f t="shared" si="10"/>
        <v>%</v>
      </c>
      <c r="I18" s="113" t="str">
        <f t="shared" si="10"/>
        <v>Trimestre</v>
      </c>
      <c r="J18" s="113" t="str">
        <f t="shared" si="10"/>
        <v>%</v>
      </c>
      <c r="K18" s="111" t="str">
        <f t="shared" si="10"/>
        <v>OUT</v>
      </c>
      <c r="L18" s="112" t="str">
        <f t="shared" si="10"/>
        <v>%</v>
      </c>
      <c r="M18" s="111" t="str">
        <f t="shared" si="10"/>
        <v>NOV</v>
      </c>
      <c r="N18" s="112" t="str">
        <f t="shared" si="10"/>
        <v>%</v>
      </c>
      <c r="O18" s="111" t="str">
        <f t="shared" si="10"/>
        <v>DEZ</v>
      </c>
      <c r="P18" s="112" t="str">
        <f t="shared" si="10"/>
        <v>%</v>
      </c>
      <c r="Q18" s="113" t="str">
        <f t="shared" si="10"/>
        <v>Trimestre</v>
      </c>
      <c r="R18" s="113" t="str">
        <f t="shared" si="10"/>
        <v>%</v>
      </c>
    </row>
    <row r="19" spans="1:18" ht="15.75" hidden="1" thickTop="1" x14ac:dyDescent="0.25">
      <c r="A19" s="101" t="s">
        <v>157</v>
      </c>
      <c r="B19" s="3">
        <v>36</v>
      </c>
      <c r="C19" s="4"/>
      <c r="D19" s="7">
        <f>((C19/$B19))-1</f>
        <v>-1</v>
      </c>
      <c r="E19" s="4"/>
      <c r="F19" s="7">
        <f>((E19/$B19))-1</f>
        <v>-1</v>
      </c>
      <c r="G19" s="4"/>
      <c r="H19" s="7">
        <f>((G19/$B19))-1</f>
        <v>-1</v>
      </c>
      <c r="I19" s="5">
        <f>C19+E19+G19</f>
        <v>0</v>
      </c>
      <c r="J19" s="8">
        <f>((I19/(3*$B19)))-1</f>
        <v>-1</v>
      </c>
      <c r="K19" s="4"/>
      <c r="L19" s="7">
        <f>((K19/$B19))-1</f>
        <v>-1</v>
      </c>
      <c r="M19" s="4"/>
      <c r="N19" s="7">
        <f>((M19/$B19))-1</f>
        <v>-1</v>
      </c>
      <c r="O19" s="4"/>
      <c r="P19" s="7">
        <f>((O19/$B19))-1</f>
        <v>-1</v>
      </c>
      <c r="Q19" s="5">
        <f>K19+M19+O19</f>
        <v>0</v>
      </c>
      <c r="R19" s="8">
        <f>((Q19/(3*$B19)))-1</f>
        <v>-1</v>
      </c>
    </row>
    <row r="20" spans="1:18" hidden="1" x14ac:dyDescent="0.25">
      <c r="A20" s="101" t="s">
        <v>158</v>
      </c>
      <c r="B20" s="92">
        <v>6</v>
      </c>
      <c r="C20" s="195"/>
      <c r="D20" s="7">
        <f t="shared" ref="D20:D28" si="11">((C20/$B20))-1</f>
        <v>-1</v>
      </c>
      <c r="E20" s="287"/>
      <c r="F20" s="7">
        <f t="shared" ref="F20:F28" si="12">((E20/$B20))-1</f>
        <v>-1</v>
      </c>
      <c r="G20" s="287"/>
      <c r="H20" s="7">
        <f t="shared" ref="H20:H28" si="13">((G20/$B20))-1</f>
        <v>-1</v>
      </c>
      <c r="I20" s="5">
        <f t="shared" ref="I20:I27" si="14">C20+E20+G20</f>
        <v>0</v>
      </c>
      <c r="J20" s="8">
        <f>((I20/(3*$B20)))-1</f>
        <v>-1</v>
      </c>
      <c r="K20" s="93"/>
      <c r="L20" s="7">
        <f t="shared" ref="L20:L27" si="15">((K20/$B20))-1</f>
        <v>-1</v>
      </c>
      <c r="M20" s="93"/>
      <c r="N20" s="7">
        <f t="shared" ref="N20:N27" si="16">((M20/$B20))-1</f>
        <v>-1</v>
      </c>
      <c r="O20" s="93"/>
      <c r="P20" s="7">
        <f t="shared" ref="P20:P28" si="17">((O20/$B20))-1</f>
        <v>-1</v>
      </c>
      <c r="Q20" s="5">
        <f t="shared" ref="Q20:Q27" si="18">K20+M20+O20</f>
        <v>0</v>
      </c>
      <c r="R20" s="8">
        <f>((Q20/(3*$B20)))-1</f>
        <v>-1</v>
      </c>
    </row>
    <row r="21" spans="1:18" hidden="1" x14ac:dyDescent="0.25">
      <c r="A21" s="101" t="s">
        <v>159</v>
      </c>
      <c r="B21" s="92">
        <v>6</v>
      </c>
      <c r="C21" s="93"/>
      <c r="D21" s="7">
        <f t="shared" si="11"/>
        <v>-1</v>
      </c>
      <c r="E21" s="285"/>
      <c r="F21" s="7">
        <f t="shared" si="12"/>
        <v>-1</v>
      </c>
      <c r="G21" s="287"/>
      <c r="H21" s="7">
        <f t="shared" si="13"/>
        <v>-1</v>
      </c>
      <c r="I21" s="5">
        <f t="shared" si="14"/>
        <v>0</v>
      </c>
      <c r="J21" s="8">
        <f t="shared" ref="J21:J28" si="19">((I21/(3*$B21)))-1</f>
        <v>-1</v>
      </c>
      <c r="K21" s="93"/>
      <c r="L21" s="7">
        <f t="shared" si="15"/>
        <v>-1</v>
      </c>
      <c r="M21" s="93"/>
      <c r="N21" s="7">
        <f t="shared" si="16"/>
        <v>-1</v>
      </c>
      <c r="O21" s="93"/>
      <c r="P21" s="7">
        <f t="shared" si="17"/>
        <v>-1</v>
      </c>
      <c r="Q21" s="5">
        <f t="shared" si="18"/>
        <v>0</v>
      </c>
      <c r="R21" s="8">
        <f t="shared" ref="R21:R27" si="20">((Q21/(3*$B21)))-1</f>
        <v>-1</v>
      </c>
    </row>
    <row r="22" spans="1:18" hidden="1" x14ac:dyDescent="0.25">
      <c r="A22" s="101" t="s">
        <v>160</v>
      </c>
      <c r="B22" s="92">
        <v>2</v>
      </c>
      <c r="C22" s="93"/>
      <c r="D22" s="7">
        <f t="shared" si="11"/>
        <v>-1</v>
      </c>
      <c r="E22" s="285"/>
      <c r="F22" s="7">
        <f t="shared" si="12"/>
        <v>-1</v>
      </c>
      <c r="G22" s="93"/>
      <c r="H22" s="7">
        <f t="shared" si="13"/>
        <v>-1</v>
      </c>
      <c r="I22" s="5">
        <f t="shared" si="14"/>
        <v>0</v>
      </c>
      <c r="J22" s="8">
        <f t="shared" si="19"/>
        <v>-1</v>
      </c>
      <c r="K22" s="285"/>
      <c r="L22" s="7">
        <f t="shared" si="15"/>
        <v>-1</v>
      </c>
      <c r="M22" s="287"/>
      <c r="N22" s="7">
        <f t="shared" si="16"/>
        <v>-1</v>
      </c>
      <c r="O22" s="195"/>
      <c r="P22" s="7">
        <f t="shared" si="17"/>
        <v>-1</v>
      </c>
      <c r="Q22" s="5">
        <f t="shared" si="18"/>
        <v>0</v>
      </c>
      <c r="R22" s="8">
        <f t="shared" si="20"/>
        <v>-1</v>
      </c>
    </row>
    <row r="23" spans="1:18" hidden="1" x14ac:dyDescent="0.25">
      <c r="A23" s="104" t="s">
        <v>161</v>
      </c>
      <c r="B23" s="92">
        <v>3</v>
      </c>
      <c r="C23" s="93"/>
      <c r="D23" s="7">
        <f t="shared" si="11"/>
        <v>-1</v>
      </c>
      <c r="E23" s="285"/>
      <c r="F23" s="7">
        <f t="shared" si="12"/>
        <v>-1</v>
      </c>
      <c r="G23" s="93"/>
      <c r="H23" s="7">
        <f t="shared" si="13"/>
        <v>-1</v>
      </c>
      <c r="I23" s="5">
        <f t="shared" si="14"/>
        <v>0</v>
      </c>
      <c r="J23" s="8">
        <f t="shared" si="19"/>
        <v>-1</v>
      </c>
      <c r="K23" s="93"/>
      <c r="L23" s="7">
        <f t="shared" si="15"/>
        <v>-1</v>
      </c>
      <c r="M23" s="93"/>
      <c r="N23" s="7">
        <f t="shared" si="16"/>
        <v>-1</v>
      </c>
      <c r="O23" s="93"/>
      <c r="P23" s="7">
        <f t="shared" si="17"/>
        <v>-1</v>
      </c>
      <c r="Q23" s="5">
        <f t="shared" si="18"/>
        <v>0</v>
      </c>
      <c r="R23" s="8">
        <f t="shared" si="20"/>
        <v>-1</v>
      </c>
    </row>
    <row r="24" spans="1:18" hidden="1" x14ac:dyDescent="0.25">
      <c r="A24" s="105" t="s">
        <v>162</v>
      </c>
      <c r="B24" s="92">
        <v>3</v>
      </c>
      <c r="C24" s="93"/>
      <c r="D24" s="7">
        <f t="shared" si="11"/>
        <v>-1</v>
      </c>
      <c r="E24" s="285"/>
      <c r="F24" s="7">
        <f t="shared" si="12"/>
        <v>-1</v>
      </c>
      <c r="G24" s="93"/>
      <c r="H24" s="7">
        <f t="shared" si="13"/>
        <v>-1</v>
      </c>
      <c r="I24" s="5">
        <f t="shared" si="14"/>
        <v>0</v>
      </c>
      <c r="J24" s="8">
        <f t="shared" si="19"/>
        <v>-1</v>
      </c>
      <c r="K24" s="93"/>
      <c r="L24" s="7">
        <f t="shared" si="15"/>
        <v>-1</v>
      </c>
      <c r="M24" s="93"/>
      <c r="N24" s="7">
        <f t="shared" si="16"/>
        <v>-1</v>
      </c>
      <c r="O24" s="93"/>
      <c r="P24" s="7">
        <f t="shared" si="17"/>
        <v>-1</v>
      </c>
      <c r="Q24" s="5">
        <f t="shared" si="18"/>
        <v>0</v>
      </c>
      <c r="R24" s="8">
        <f t="shared" si="20"/>
        <v>-1</v>
      </c>
    </row>
    <row r="25" spans="1:18" hidden="1" x14ac:dyDescent="0.25">
      <c r="A25" s="106" t="s">
        <v>182</v>
      </c>
      <c r="B25" s="94">
        <v>1</v>
      </c>
      <c r="C25" s="95"/>
      <c r="D25" s="7">
        <f t="shared" si="11"/>
        <v>-1</v>
      </c>
      <c r="E25" s="95"/>
      <c r="F25" s="41">
        <f t="shared" si="12"/>
        <v>-1</v>
      </c>
      <c r="G25" s="95"/>
      <c r="H25" s="7">
        <f t="shared" si="13"/>
        <v>-1</v>
      </c>
      <c r="I25" s="5">
        <f t="shared" si="14"/>
        <v>0</v>
      </c>
      <c r="J25" s="121">
        <f t="shared" si="19"/>
        <v>-1</v>
      </c>
      <c r="K25" s="95"/>
      <c r="L25" s="7">
        <f t="shared" si="15"/>
        <v>-1</v>
      </c>
      <c r="M25" s="95"/>
      <c r="N25" s="7">
        <f t="shared" si="16"/>
        <v>-1</v>
      </c>
      <c r="O25" s="95"/>
      <c r="P25" s="7">
        <f t="shared" si="17"/>
        <v>-1</v>
      </c>
      <c r="Q25" s="5">
        <f t="shared" si="18"/>
        <v>0</v>
      </c>
      <c r="R25" s="8">
        <f t="shared" si="20"/>
        <v>-1</v>
      </c>
    </row>
    <row r="26" spans="1:18" hidden="1" x14ac:dyDescent="0.25">
      <c r="A26" s="106" t="s">
        <v>163</v>
      </c>
      <c r="B26" s="205">
        <v>3</v>
      </c>
      <c r="C26" s="95"/>
      <c r="D26" s="7">
        <f t="shared" si="11"/>
        <v>-1</v>
      </c>
      <c r="E26" s="95"/>
      <c r="F26" s="193">
        <f t="shared" ref="F26" si="21">((E26/$B26))-1</f>
        <v>-1</v>
      </c>
      <c r="G26" s="95"/>
      <c r="H26" s="7">
        <f t="shared" si="13"/>
        <v>-1</v>
      </c>
      <c r="I26" s="5">
        <f t="shared" ref="I26" si="22">C26+E26+G26</f>
        <v>0</v>
      </c>
      <c r="J26" s="192">
        <f t="shared" ref="J26" si="23">((I26/(3*$B26)))-1</f>
        <v>-1</v>
      </c>
      <c r="K26" s="95"/>
      <c r="L26" s="7">
        <f t="shared" si="15"/>
        <v>-1</v>
      </c>
      <c r="M26" s="95"/>
      <c r="N26" s="7">
        <f t="shared" si="16"/>
        <v>-1</v>
      </c>
      <c r="O26" s="95"/>
      <c r="P26" s="7">
        <f t="shared" si="17"/>
        <v>-1</v>
      </c>
      <c r="Q26" s="5">
        <f t="shared" ref="Q26" si="24">K26+M26+O26</f>
        <v>0</v>
      </c>
      <c r="R26" s="8">
        <f t="shared" si="20"/>
        <v>-1</v>
      </c>
    </row>
    <row r="27" spans="1:18" ht="15.75" hidden="1" thickBot="1" x14ac:dyDescent="0.3">
      <c r="A27" s="106" t="s">
        <v>174</v>
      </c>
      <c r="B27" s="96">
        <v>2</v>
      </c>
      <c r="C27" s="97"/>
      <c r="D27" s="98">
        <f t="shared" si="11"/>
        <v>-1</v>
      </c>
      <c r="E27" s="97"/>
      <c r="F27" s="98">
        <f t="shared" si="12"/>
        <v>-1</v>
      </c>
      <c r="G27" s="97"/>
      <c r="H27" s="98">
        <f t="shared" si="13"/>
        <v>-1</v>
      </c>
      <c r="I27" s="42">
        <f t="shared" si="14"/>
        <v>0</v>
      </c>
      <c r="J27" s="181">
        <f t="shared" si="19"/>
        <v>-1</v>
      </c>
      <c r="K27" s="97"/>
      <c r="L27" s="98">
        <f t="shared" si="15"/>
        <v>-1</v>
      </c>
      <c r="M27" s="97"/>
      <c r="N27" s="98">
        <f t="shared" si="16"/>
        <v>-1</v>
      </c>
      <c r="O27" s="97"/>
      <c r="P27" s="98">
        <f t="shared" si="17"/>
        <v>-1</v>
      </c>
      <c r="Q27" s="120">
        <f t="shared" si="18"/>
        <v>0</v>
      </c>
      <c r="R27" s="181">
        <f t="shared" si="20"/>
        <v>-1</v>
      </c>
    </row>
    <row r="28" spans="1:18" ht="15.75" hidden="1" thickBot="1" x14ac:dyDescent="0.3">
      <c r="A28" s="44" t="s">
        <v>6</v>
      </c>
      <c r="B28" s="46">
        <f>SUM(B19:B27)</f>
        <v>62</v>
      </c>
      <c r="C28" s="48">
        <f>SUM(C19:C27)</f>
        <v>0</v>
      </c>
      <c r="D28" s="52">
        <f t="shared" si="11"/>
        <v>-1</v>
      </c>
      <c r="E28" s="48">
        <f>SUM(E19:E27)</f>
        <v>0</v>
      </c>
      <c r="F28" s="52">
        <f t="shared" si="12"/>
        <v>-1</v>
      </c>
      <c r="G28" s="48">
        <f>SUM(G19:G27)</f>
        <v>0</v>
      </c>
      <c r="H28" s="52">
        <f t="shared" si="13"/>
        <v>-1</v>
      </c>
      <c r="I28" s="47">
        <f>C28+E28+G28</f>
        <v>0</v>
      </c>
      <c r="J28" s="122">
        <f t="shared" si="19"/>
        <v>-1</v>
      </c>
      <c r="K28" s="48">
        <f>SUM(K19:K27)</f>
        <v>0</v>
      </c>
      <c r="L28" s="52">
        <f>((K28/$B28))-1</f>
        <v>-1</v>
      </c>
      <c r="M28" s="48">
        <f>SUM(M19:M27)</f>
        <v>0</v>
      </c>
      <c r="N28" s="52">
        <f>((M28/$B28))-1</f>
        <v>-1</v>
      </c>
      <c r="O28" s="48">
        <f>SUM(O19:O27)</f>
        <v>0</v>
      </c>
      <c r="P28" s="52">
        <f t="shared" si="17"/>
        <v>-1</v>
      </c>
      <c r="Q28" s="47">
        <f>K28+M28+O28</f>
        <v>0</v>
      </c>
      <c r="R28" s="122">
        <f>((Q28/(3*$B28)))-1</f>
        <v>-1</v>
      </c>
    </row>
    <row r="29" spans="1:18" hidden="1" x14ac:dyDescent="0.25"/>
    <row r="30" spans="1:18" ht="15.75" hidden="1" x14ac:dyDescent="0.25">
      <c r="A30" s="608" t="s">
        <v>219</v>
      </c>
      <c r="B30" s="604"/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4"/>
    </row>
    <row r="31" spans="1:18" ht="24.75" hidden="1" thickBot="1" x14ac:dyDescent="0.3">
      <c r="A31" s="6" t="s">
        <v>12</v>
      </c>
      <c r="B31" s="91" t="s">
        <v>13</v>
      </c>
      <c r="C31" s="111" t="str">
        <f t="shared" ref="C31:R31" si="25">C6</f>
        <v>JUL</v>
      </c>
      <c r="D31" s="112" t="str">
        <f t="shared" si="25"/>
        <v>%</v>
      </c>
      <c r="E31" s="111" t="str">
        <f t="shared" si="25"/>
        <v>AGO</v>
      </c>
      <c r="F31" s="112" t="str">
        <f t="shared" si="25"/>
        <v>%</v>
      </c>
      <c r="G31" s="111" t="str">
        <f t="shared" si="25"/>
        <v>SET</v>
      </c>
      <c r="H31" s="112" t="str">
        <f t="shared" si="25"/>
        <v>%</v>
      </c>
      <c r="I31" s="113" t="str">
        <f t="shared" si="25"/>
        <v>Trimestre</v>
      </c>
      <c r="J31" s="113" t="str">
        <f t="shared" si="25"/>
        <v>%</v>
      </c>
      <c r="K31" s="111" t="str">
        <f t="shared" si="25"/>
        <v>OUT</v>
      </c>
      <c r="L31" s="112" t="str">
        <f t="shared" si="25"/>
        <v>%</v>
      </c>
      <c r="M31" s="111" t="str">
        <f t="shared" si="25"/>
        <v>NOV</v>
      </c>
      <c r="N31" s="112" t="str">
        <f t="shared" si="25"/>
        <v>%</v>
      </c>
      <c r="O31" s="111" t="str">
        <f t="shared" si="25"/>
        <v>DEZ</v>
      </c>
      <c r="P31" s="112" t="str">
        <f t="shared" si="25"/>
        <v>%</v>
      </c>
      <c r="Q31" s="113" t="str">
        <f t="shared" si="25"/>
        <v>Trimestre</v>
      </c>
      <c r="R31" s="113" t="str">
        <f t="shared" si="25"/>
        <v>%</v>
      </c>
    </row>
    <row r="32" spans="1:18" ht="15.75" hidden="1" thickTop="1" x14ac:dyDescent="0.25">
      <c r="A32" s="1" t="s">
        <v>149</v>
      </c>
      <c r="B32" s="2">
        <v>2</v>
      </c>
      <c r="C32" s="93"/>
      <c r="D32" s="16">
        <f t="shared" ref="D32:D39" si="26">((C32/$B32))-1</f>
        <v>-1</v>
      </c>
      <c r="E32" s="285"/>
      <c r="F32" s="16">
        <f t="shared" ref="F32:F39" si="27">((E32/$B32))-1</f>
        <v>-1</v>
      </c>
      <c r="G32" s="285"/>
      <c r="H32" s="16">
        <f t="shared" ref="H32:H39" si="28">((G32/$B32))-1</f>
        <v>-1</v>
      </c>
      <c r="I32" s="5">
        <f t="shared" ref="I32:I39" si="29">C32+E32+G32</f>
        <v>0</v>
      </c>
      <c r="J32" s="14">
        <f t="shared" ref="J32:J38" si="30">((I32/(3*$B32)))-1</f>
        <v>-1</v>
      </c>
      <c r="K32" s="285"/>
      <c r="L32" s="13">
        <f t="shared" ref="L32:L39" si="31">((K32/$B32))-1</f>
        <v>-1</v>
      </c>
      <c r="M32" s="285"/>
      <c r="N32" s="16">
        <f t="shared" ref="N32:N39" si="32">((M32/$B32))-1</f>
        <v>-1</v>
      </c>
      <c r="O32" s="285"/>
      <c r="P32" s="16">
        <f t="shared" ref="P32:P39" si="33">((O32/$B32))-1</f>
        <v>-1</v>
      </c>
      <c r="Q32" s="5">
        <f>K32+M32+O32</f>
        <v>0</v>
      </c>
      <c r="R32" s="14">
        <f>((Q32/(3*$B32)))-1</f>
        <v>-1</v>
      </c>
    </row>
    <row r="33" spans="1:18" hidden="1" x14ac:dyDescent="0.25">
      <c r="A33" s="1" t="s">
        <v>221</v>
      </c>
      <c r="B33" s="2">
        <v>1</v>
      </c>
      <c r="C33" s="93"/>
      <c r="D33" s="16">
        <f t="shared" si="26"/>
        <v>-1</v>
      </c>
      <c r="E33" s="285"/>
      <c r="F33" s="16">
        <f t="shared" si="27"/>
        <v>-1</v>
      </c>
      <c r="G33" s="285"/>
      <c r="H33" s="16">
        <f t="shared" si="28"/>
        <v>-1</v>
      </c>
      <c r="I33" s="5">
        <f t="shared" si="29"/>
        <v>0</v>
      </c>
      <c r="J33" s="14">
        <f t="shared" si="30"/>
        <v>-1</v>
      </c>
      <c r="K33" s="285"/>
      <c r="L33" s="13">
        <f t="shared" si="31"/>
        <v>-1</v>
      </c>
      <c r="M33" s="285"/>
      <c r="N33" s="16">
        <f t="shared" si="32"/>
        <v>-1</v>
      </c>
      <c r="O33" s="285"/>
      <c r="P33" s="16">
        <f t="shared" si="33"/>
        <v>-1</v>
      </c>
      <c r="Q33" s="5">
        <f t="shared" ref="Q33:Q38" si="34">K33+M33+O33</f>
        <v>0</v>
      </c>
      <c r="R33" s="14">
        <f t="shared" ref="R33:R38" si="35">((Q33/(3*$B33)))-1</f>
        <v>-1</v>
      </c>
    </row>
    <row r="34" spans="1:18" hidden="1" x14ac:dyDescent="0.25">
      <c r="A34" s="1" t="s">
        <v>222</v>
      </c>
      <c r="B34" s="2">
        <v>1</v>
      </c>
      <c r="C34" s="93"/>
      <c r="D34" s="16">
        <f t="shared" si="26"/>
        <v>-1</v>
      </c>
      <c r="E34" s="285"/>
      <c r="F34" s="16">
        <f t="shared" si="27"/>
        <v>-1</v>
      </c>
      <c r="G34" s="285"/>
      <c r="H34" s="16">
        <f t="shared" si="28"/>
        <v>-1</v>
      </c>
      <c r="I34" s="5">
        <f t="shared" si="29"/>
        <v>0</v>
      </c>
      <c r="J34" s="14">
        <f t="shared" si="30"/>
        <v>-1</v>
      </c>
      <c r="K34" s="285"/>
      <c r="L34" s="13">
        <f t="shared" si="31"/>
        <v>-1</v>
      </c>
      <c r="M34" s="285"/>
      <c r="N34" s="16">
        <f t="shared" si="32"/>
        <v>-1</v>
      </c>
      <c r="O34" s="285"/>
      <c r="P34" s="16">
        <f t="shared" si="33"/>
        <v>-1</v>
      </c>
      <c r="Q34" s="5">
        <f t="shared" si="34"/>
        <v>0</v>
      </c>
      <c r="R34" s="14">
        <f t="shared" si="35"/>
        <v>-1</v>
      </c>
    </row>
    <row r="35" spans="1:18" hidden="1" x14ac:dyDescent="0.25">
      <c r="A35" s="1" t="s">
        <v>161</v>
      </c>
      <c r="B35" s="2">
        <v>1</v>
      </c>
      <c r="C35" s="93"/>
      <c r="D35" s="16">
        <f t="shared" si="26"/>
        <v>-1</v>
      </c>
      <c r="E35" s="285"/>
      <c r="F35" s="16">
        <f t="shared" si="27"/>
        <v>-1</v>
      </c>
      <c r="G35" s="285"/>
      <c r="H35" s="16">
        <f t="shared" si="28"/>
        <v>-1</v>
      </c>
      <c r="I35" s="5">
        <f t="shared" si="29"/>
        <v>0</v>
      </c>
      <c r="J35" s="14">
        <f t="shared" si="30"/>
        <v>-1</v>
      </c>
      <c r="K35" s="285"/>
      <c r="L35" s="13">
        <f t="shared" si="31"/>
        <v>-1</v>
      </c>
      <c r="M35" s="285"/>
      <c r="N35" s="16">
        <f t="shared" si="32"/>
        <v>-1</v>
      </c>
      <c r="O35" s="285"/>
      <c r="P35" s="16">
        <f t="shared" si="33"/>
        <v>-1</v>
      </c>
      <c r="Q35" s="5">
        <f t="shared" si="34"/>
        <v>0</v>
      </c>
      <c r="R35" s="14">
        <f t="shared" si="35"/>
        <v>-1</v>
      </c>
    </row>
    <row r="36" spans="1:18" hidden="1" x14ac:dyDescent="0.25">
      <c r="A36" s="1" t="s">
        <v>194</v>
      </c>
      <c r="B36" s="2">
        <v>1</v>
      </c>
      <c r="C36" s="93"/>
      <c r="D36" s="16">
        <f t="shared" si="26"/>
        <v>-1</v>
      </c>
      <c r="E36" s="285"/>
      <c r="F36" s="16">
        <f t="shared" si="27"/>
        <v>-1</v>
      </c>
      <c r="G36" s="285"/>
      <c r="H36" s="16">
        <f t="shared" si="28"/>
        <v>-1</v>
      </c>
      <c r="I36" s="5">
        <f t="shared" si="29"/>
        <v>0</v>
      </c>
      <c r="J36" s="14">
        <f t="shared" si="30"/>
        <v>-1</v>
      </c>
      <c r="K36" s="285"/>
      <c r="L36" s="13">
        <f t="shared" si="31"/>
        <v>-1</v>
      </c>
      <c r="M36" s="285"/>
      <c r="N36" s="16">
        <f t="shared" si="32"/>
        <v>-1</v>
      </c>
      <c r="O36" s="285"/>
      <c r="P36" s="16">
        <f t="shared" si="33"/>
        <v>-1</v>
      </c>
      <c r="Q36" s="5">
        <f t="shared" si="34"/>
        <v>0</v>
      </c>
      <c r="R36" s="14">
        <f t="shared" si="35"/>
        <v>-1</v>
      </c>
    </row>
    <row r="37" spans="1:18" hidden="1" x14ac:dyDescent="0.25">
      <c r="A37" s="196" t="s">
        <v>150</v>
      </c>
      <c r="B37" s="197">
        <v>2</v>
      </c>
      <c r="C37" s="54"/>
      <c r="D37" s="16">
        <f t="shared" si="26"/>
        <v>-1</v>
      </c>
      <c r="E37" s="285"/>
      <c r="F37" s="16">
        <f t="shared" si="27"/>
        <v>-1</v>
      </c>
      <c r="G37" s="285"/>
      <c r="H37" s="16">
        <f t="shared" si="28"/>
        <v>-1</v>
      </c>
      <c r="I37" s="297">
        <f t="shared" si="29"/>
        <v>0</v>
      </c>
      <c r="J37" s="15">
        <f t="shared" si="30"/>
        <v>-1</v>
      </c>
      <c r="K37" s="299"/>
      <c r="L37" s="24">
        <f t="shared" si="31"/>
        <v>-1</v>
      </c>
      <c r="M37" s="285"/>
      <c r="N37" s="16">
        <f t="shared" si="32"/>
        <v>-1</v>
      </c>
      <c r="O37" s="285"/>
      <c r="P37" s="16">
        <f t="shared" si="33"/>
        <v>-1</v>
      </c>
      <c r="Q37" s="297">
        <f t="shared" si="34"/>
        <v>0</v>
      </c>
      <c r="R37" s="15">
        <f t="shared" si="35"/>
        <v>-1</v>
      </c>
    </row>
    <row r="38" spans="1:18" ht="15.75" hidden="1" thickBot="1" x14ac:dyDescent="0.3">
      <c r="A38" s="354" t="s">
        <v>293</v>
      </c>
      <c r="B38" s="355">
        <v>2</v>
      </c>
      <c r="C38" s="356"/>
      <c r="D38" s="430">
        <f t="shared" si="26"/>
        <v>-1</v>
      </c>
      <c r="E38" s="356"/>
      <c r="F38" s="430">
        <f t="shared" si="27"/>
        <v>-1</v>
      </c>
      <c r="G38" s="356"/>
      <c r="H38" s="430">
        <f t="shared" si="28"/>
        <v>-1</v>
      </c>
      <c r="I38" s="357">
        <f t="shared" si="29"/>
        <v>0</v>
      </c>
      <c r="J38" s="358">
        <f t="shared" si="30"/>
        <v>-1</v>
      </c>
      <c r="K38" s="356"/>
      <c r="L38" s="359">
        <f t="shared" si="31"/>
        <v>-1</v>
      </c>
      <c r="M38" s="431"/>
      <c r="N38" s="430">
        <f t="shared" si="32"/>
        <v>-1</v>
      </c>
      <c r="O38" s="431"/>
      <c r="P38" s="430">
        <f t="shared" si="33"/>
        <v>-1</v>
      </c>
      <c r="Q38" s="357">
        <f t="shared" si="34"/>
        <v>0</v>
      </c>
      <c r="R38" s="358">
        <f t="shared" si="35"/>
        <v>-1</v>
      </c>
    </row>
    <row r="39" spans="1:18" ht="15.75" hidden="1" thickBot="1" x14ac:dyDescent="0.3">
      <c r="A39" s="44" t="s">
        <v>6</v>
      </c>
      <c r="B39" s="46">
        <f>SUM(B32:B38)</f>
        <v>10</v>
      </c>
      <c r="C39" s="48">
        <f>SUM(C32:C38)</f>
        <v>0</v>
      </c>
      <c r="D39" s="108">
        <f t="shared" si="26"/>
        <v>-1</v>
      </c>
      <c r="E39" s="48">
        <f>SUM(E32:E38)</f>
        <v>0</v>
      </c>
      <c r="F39" s="108">
        <f t="shared" si="27"/>
        <v>-1</v>
      </c>
      <c r="G39" s="48">
        <f>SUM(G32:G38)</f>
        <v>0</v>
      </c>
      <c r="H39" s="108">
        <f t="shared" si="28"/>
        <v>-1</v>
      </c>
      <c r="I39" s="47">
        <f t="shared" si="29"/>
        <v>0</v>
      </c>
      <c r="J39" s="378">
        <f t="shared" ref="J39" si="36">((I39/(3*$B39)))-1</f>
        <v>-1</v>
      </c>
      <c r="K39" s="48">
        <f>SUM(K32:K38)</f>
        <v>0</v>
      </c>
      <c r="L39" s="52">
        <f t="shared" si="31"/>
        <v>-1</v>
      </c>
      <c r="M39" s="48">
        <f>SUM(M32:M38)</f>
        <v>0</v>
      </c>
      <c r="N39" s="108">
        <f t="shared" si="32"/>
        <v>-1</v>
      </c>
      <c r="O39" s="48">
        <f>SUM(O32:O38)</f>
        <v>0</v>
      </c>
      <c r="P39" s="108">
        <f t="shared" si="33"/>
        <v>-1</v>
      </c>
      <c r="Q39" s="47">
        <f>K39+M39+O39</f>
        <v>0</v>
      </c>
      <c r="R39" s="379">
        <f>((Q39/(3*$B39)))-1</f>
        <v>-1</v>
      </c>
    </row>
    <row r="40" spans="1:18" hidden="1" x14ac:dyDescent="0.25"/>
    <row r="41" spans="1:18" ht="15.75" hidden="1" x14ac:dyDescent="0.25">
      <c r="A41" s="603" t="s">
        <v>267</v>
      </c>
      <c r="B41" s="604"/>
      <c r="C41" s="604"/>
      <c r="D41" s="604"/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</row>
    <row r="42" spans="1:18" ht="24.75" hidden="1" thickBot="1" x14ac:dyDescent="0.3">
      <c r="A42" s="82" t="s">
        <v>12</v>
      </c>
      <c r="B42" s="83" t="s">
        <v>13</v>
      </c>
      <c r="C42" s="111" t="str">
        <f t="shared" ref="C42:R42" si="37">C6</f>
        <v>JUL</v>
      </c>
      <c r="D42" s="112" t="str">
        <f t="shared" si="37"/>
        <v>%</v>
      </c>
      <c r="E42" s="111" t="str">
        <f t="shared" si="37"/>
        <v>AGO</v>
      </c>
      <c r="F42" s="112" t="str">
        <f t="shared" si="37"/>
        <v>%</v>
      </c>
      <c r="G42" s="111" t="str">
        <f t="shared" si="37"/>
        <v>SET</v>
      </c>
      <c r="H42" s="112" t="str">
        <f t="shared" si="37"/>
        <v>%</v>
      </c>
      <c r="I42" s="113" t="str">
        <f t="shared" si="37"/>
        <v>Trimestre</v>
      </c>
      <c r="J42" s="113" t="str">
        <f t="shared" si="37"/>
        <v>%</v>
      </c>
      <c r="K42" s="111" t="str">
        <f t="shared" si="37"/>
        <v>OUT</v>
      </c>
      <c r="L42" s="112" t="str">
        <f t="shared" si="37"/>
        <v>%</v>
      </c>
      <c r="M42" s="111" t="str">
        <f t="shared" si="37"/>
        <v>NOV</v>
      </c>
      <c r="N42" s="112" t="str">
        <f t="shared" si="37"/>
        <v>%</v>
      </c>
      <c r="O42" s="111" t="str">
        <f t="shared" si="37"/>
        <v>DEZ</v>
      </c>
      <c r="P42" s="112" t="str">
        <f t="shared" si="37"/>
        <v>%</v>
      </c>
      <c r="Q42" s="113" t="str">
        <f t="shared" si="37"/>
        <v>Trimestre</v>
      </c>
      <c r="R42" s="113" t="str">
        <f t="shared" si="37"/>
        <v>%</v>
      </c>
    </row>
    <row r="43" spans="1:18" ht="15.75" hidden="1" thickTop="1" x14ac:dyDescent="0.25">
      <c r="A43" s="303" t="s">
        <v>165</v>
      </c>
      <c r="B43" s="311">
        <v>12</v>
      </c>
      <c r="C43" s="305"/>
      <c r="D43" s="309">
        <f>((C43/$B43))-1</f>
        <v>-1</v>
      </c>
      <c r="E43" s="305"/>
      <c r="F43" s="309">
        <f>((E43/$B43))-1</f>
        <v>-1</v>
      </c>
      <c r="G43" s="305"/>
      <c r="H43" s="309">
        <f>((G43/$B43))-1</f>
        <v>-1</v>
      </c>
      <c r="I43" s="307">
        <f t="shared" ref="I43:I45" si="38">C43+E43+G43</f>
        <v>0</v>
      </c>
      <c r="J43" s="314">
        <f t="shared" ref="J43:J45" si="39">((I43/(3*$B43)))-1</f>
        <v>-1</v>
      </c>
      <c r="K43" s="305"/>
      <c r="L43" s="309">
        <f>((K43/$B43))-1</f>
        <v>-1</v>
      </c>
      <c r="M43" s="305"/>
      <c r="N43" s="309">
        <f>((M43/$B43))-1</f>
        <v>-1</v>
      </c>
      <c r="O43" s="305"/>
      <c r="P43" s="309">
        <f>((O43/$B43))-1</f>
        <v>-1</v>
      </c>
      <c r="Q43" s="307">
        <f t="shared" ref="Q43:Q45" si="40">K43+M43+O43</f>
        <v>0</v>
      </c>
      <c r="R43" s="314">
        <f t="shared" ref="R43:R45" si="41">((Q43/(3*$B43)))-1</f>
        <v>-1</v>
      </c>
    </row>
    <row r="44" spans="1:18" ht="15.75" hidden="1" thickBot="1" x14ac:dyDescent="0.3">
      <c r="A44" s="318" t="s">
        <v>155</v>
      </c>
      <c r="B44" s="376">
        <v>12</v>
      </c>
      <c r="C44" s="326"/>
      <c r="D44" s="327">
        <f>((C44/$B44))-1</f>
        <v>-1</v>
      </c>
      <c r="E44" s="326"/>
      <c r="F44" s="327">
        <f>((E44/$B44))-1</f>
        <v>-1</v>
      </c>
      <c r="G44" s="326"/>
      <c r="H44" s="327">
        <f>((G44/$B44))-1</f>
        <v>-1</v>
      </c>
      <c r="I44" s="328">
        <f t="shared" si="38"/>
        <v>0</v>
      </c>
      <c r="J44" s="329">
        <f t="shared" si="39"/>
        <v>-1</v>
      </c>
      <c r="K44" s="326"/>
      <c r="L44" s="327">
        <f>((K44/$B44))-1</f>
        <v>-1</v>
      </c>
      <c r="M44" s="326"/>
      <c r="N44" s="327">
        <f>((M44/$B44))-1</f>
        <v>-1</v>
      </c>
      <c r="O44" s="326"/>
      <c r="P44" s="327">
        <f>((O44/$B44))-1</f>
        <v>-1</v>
      </c>
      <c r="Q44" s="328">
        <f t="shared" si="40"/>
        <v>0</v>
      </c>
      <c r="R44" s="329">
        <f t="shared" si="41"/>
        <v>-1</v>
      </c>
    </row>
    <row r="45" spans="1:18" ht="15.75" hidden="1" thickBot="1" x14ac:dyDescent="0.3">
      <c r="A45" s="44" t="s">
        <v>6</v>
      </c>
      <c r="B45" s="46">
        <f>SUM(B43:B44)</f>
        <v>24</v>
      </c>
      <c r="C45" s="48">
        <f>SUM(C43:C44)</f>
        <v>0</v>
      </c>
      <c r="D45" s="52">
        <f t="shared" ref="D45" si="42">((C45/$B45))-1</f>
        <v>-1</v>
      </c>
      <c r="E45" s="48">
        <f>SUM(E43:E44)</f>
        <v>0</v>
      </c>
      <c r="F45" s="52">
        <f t="shared" ref="F45" si="43">((E45/$B45))-1</f>
        <v>-1</v>
      </c>
      <c r="G45" s="48">
        <f>SUM(G43:G44)</f>
        <v>0</v>
      </c>
      <c r="H45" s="52">
        <f t="shared" ref="H45" si="44">((G45/$B45))-1</f>
        <v>-1</v>
      </c>
      <c r="I45" s="47">
        <f t="shared" si="38"/>
        <v>0</v>
      </c>
      <c r="J45" s="53">
        <f t="shared" si="39"/>
        <v>-1</v>
      </c>
      <c r="K45" s="48">
        <f>SUM(K43:K44)</f>
        <v>0</v>
      </c>
      <c r="L45" s="52">
        <f t="shared" ref="L45" si="45">((K45/$B45))-1</f>
        <v>-1</v>
      </c>
      <c r="M45" s="48">
        <f>SUM(M43:M44)</f>
        <v>0</v>
      </c>
      <c r="N45" s="52">
        <f t="shared" ref="N45" si="46">((M45/$B45))-1</f>
        <v>-1</v>
      </c>
      <c r="O45" s="48">
        <f>SUM(O43:O44)</f>
        <v>0</v>
      </c>
      <c r="P45" s="52">
        <f t="shared" ref="P45" si="47">((O45/$B45))-1</f>
        <v>-1</v>
      </c>
      <c r="Q45" s="47">
        <f t="shared" si="40"/>
        <v>0</v>
      </c>
      <c r="R45" s="377">
        <f t="shared" si="41"/>
        <v>-1</v>
      </c>
    </row>
    <row r="46" spans="1:18" hidden="1" x14ac:dyDescent="0.25"/>
  </sheetData>
  <mergeCells count="6">
    <mergeCell ref="A41:R41"/>
    <mergeCell ref="A30:R30"/>
    <mergeCell ref="A5:R5"/>
    <mergeCell ref="A17:R17"/>
    <mergeCell ref="A2:R2"/>
    <mergeCell ref="A3:R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&amp;L&amp;12Fonte: Sistema WEBSAASS / SMS&amp;R&amp;12pag.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2:R52"/>
  <sheetViews>
    <sheetView showGridLines="0" view="pageBreakPreview" zoomScale="90" zoomScaleNormal="100" zoomScaleSheetLayoutView="90" workbookViewId="0">
      <selection activeCell="A6" sqref="A6"/>
    </sheetView>
  </sheetViews>
  <sheetFormatPr defaultColWidth="8.85546875" defaultRowHeight="15" x14ac:dyDescent="0.25"/>
  <cols>
    <col min="1" max="1" width="29.28515625" customWidth="1"/>
    <col min="2" max="3" width="9" bestFit="1" customWidth="1"/>
    <col min="4" max="4" width="8.140625" bestFit="1" customWidth="1"/>
    <col min="5" max="5" width="9" bestFit="1" customWidth="1"/>
    <col min="6" max="6" width="8.140625" bestFit="1" customWidth="1"/>
    <col min="7" max="7" width="9" bestFit="1" customWidth="1"/>
    <col min="8" max="8" width="8.140625" bestFit="1" customWidth="1"/>
    <col min="9" max="9" width="10.7109375" customWidth="1"/>
    <col min="10" max="10" width="8.140625" bestFit="1" customWidth="1"/>
    <col min="11" max="11" width="9" bestFit="1" customWidth="1"/>
    <col min="12" max="12" width="8.140625" bestFit="1" customWidth="1"/>
    <col min="13" max="13" width="9" bestFit="1" customWidth="1"/>
    <col min="14" max="14" width="8.140625" bestFit="1" customWidth="1"/>
    <col min="15" max="15" width="9" bestFit="1" customWidth="1"/>
    <col min="16" max="16" width="8.140625" bestFit="1" customWidth="1"/>
    <col min="17" max="17" width="11.140625" bestFit="1" customWidth="1"/>
    <col min="18" max="18" width="8.140625" bestFit="1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5.75" x14ac:dyDescent="0.25">
      <c r="A5" s="603" t="s">
        <v>209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</row>
    <row r="6" spans="1:18" ht="24.75" thickBot="1" x14ac:dyDescent="0.3">
      <c r="A6" s="82" t="s">
        <v>12</v>
      </c>
      <c r="B6" s="83" t="s">
        <v>13</v>
      </c>
      <c r="C6" s="111" t="str">
        <f>'UBS Vila Dalva'!C6</f>
        <v>JUL</v>
      </c>
      <c r="D6" s="112" t="str">
        <f>'UBS Vila Dalva'!D6</f>
        <v>%</v>
      </c>
      <c r="E6" s="111" t="str">
        <f>'UBS Vila Dalva'!E6</f>
        <v>AGO</v>
      </c>
      <c r="F6" s="112" t="str">
        <f>'UBS Vila Dalva'!F6</f>
        <v>%</v>
      </c>
      <c r="G6" s="111" t="str">
        <f>'UBS Vila Dalva'!G6</f>
        <v>SET</v>
      </c>
      <c r="H6" s="112" t="str">
        <f>'UBS Vila Dalva'!H6</f>
        <v>%</v>
      </c>
      <c r="I6" s="113" t="str">
        <f>'UBS Vila Dalva'!I6</f>
        <v>Trimestre</v>
      </c>
      <c r="J6" s="113" t="str">
        <f>'UBS Vila Dalva'!J6</f>
        <v>%</v>
      </c>
      <c r="K6" s="111" t="str">
        <f>'UBS Vila Dalva'!K6</f>
        <v>OUT</v>
      </c>
      <c r="L6" s="112" t="str">
        <f>'UBS Vila Dalva'!L6</f>
        <v>%</v>
      </c>
      <c r="M6" s="111" t="str">
        <f>'UBS Vila Dalva'!M6</f>
        <v>NOV</v>
      </c>
      <c r="N6" s="112" t="str">
        <f>'UBS Vila Dalva'!N6</f>
        <v>%</v>
      </c>
      <c r="O6" s="111" t="str">
        <f>'UBS Vila Dalva'!O6</f>
        <v>DEZ</v>
      </c>
      <c r="P6" s="112" t="str">
        <f>'UBS Vila Dalva'!P6</f>
        <v>%</v>
      </c>
      <c r="Q6" s="113" t="str">
        <f>'UBS Vila Dalva'!Q6</f>
        <v>Trimestre</v>
      </c>
      <c r="R6" s="113" t="str">
        <f>'UBS Vila Dalva'!R6</f>
        <v>%</v>
      </c>
    </row>
    <row r="7" spans="1:18" ht="15.75" thickTop="1" x14ac:dyDescent="0.25">
      <c r="A7" s="84" t="s">
        <v>151</v>
      </c>
      <c r="B7" s="85">
        <v>7200</v>
      </c>
      <c r="C7" s="86">
        <v>6203</v>
      </c>
      <c r="D7" s="87">
        <f>((C7/$B7))-1</f>
        <v>-0.13847222222222222</v>
      </c>
      <c r="E7" s="285">
        <v>4269</v>
      </c>
      <c r="F7" s="87">
        <f>((E7/$B7))-1</f>
        <v>-0.40708333333333335</v>
      </c>
      <c r="G7" s="285">
        <v>5802</v>
      </c>
      <c r="H7" s="87">
        <f>((G7/$B7))-1</f>
        <v>-0.19416666666666671</v>
      </c>
      <c r="I7" s="5">
        <f>C7+E7+G7</f>
        <v>16274</v>
      </c>
      <c r="J7" s="8">
        <f>((I7/(3*$B7)))-1</f>
        <v>-0.24657407407407406</v>
      </c>
      <c r="K7" s="285">
        <v>5362</v>
      </c>
      <c r="L7" s="87">
        <f>((K7/$B7))-1</f>
        <v>-0.25527777777777783</v>
      </c>
      <c r="M7" s="285">
        <v>6199</v>
      </c>
      <c r="N7" s="87">
        <f>((M7/$B7))-1</f>
        <v>-0.13902777777777775</v>
      </c>
      <c r="O7" s="285">
        <v>5348</v>
      </c>
      <c r="P7" s="87">
        <f>((O7/$B7))-1</f>
        <v>-0.25722222222222224</v>
      </c>
      <c r="Q7" s="5">
        <f>K7+M7+O7</f>
        <v>16909</v>
      </c>
      <c r="R7" s="8">
        <f>((Q7/(3*$B7)))-1</f>
        <v>-0.21717592592592594</v>
      </c>
    </row>
    <row r="8" spans="1:18" x14ac:dyDescent="0.25">
      <c r="A8" s="367" t="s">
        <v>152</v>
      </c>
      <c r="B8" s="312">
        <v>2496</v>
      </c>
      <c r="C8" s="299">
        <v>1625</v>
      </c>
      <c r="D8" s="368">
        <f t="shared" ref="D8:D18" si="0">((C8/$B8))-1</f>
        <v>-0.34895833333333337</v>
      </c>
      <c r="E8" s="299">
        <v>1741</v>
      </c>
      <c r="F8" s="368">
        <f t="shared" ref="F8:F18" si="1">((E8/$B8))-1</f>
        <v>-0.30248397435897434</v>
      </c>
      <c r="G8" s="299">
        <v>1547</v>
      </c>
      <c r="H8" s="368">
        <f t="shared" ref="H8:H18" si="2">((G8/$B8))-1</f>
        <v>-0.38020833333333337</v>
      </c>
      <c r="I8" s="348">
        <f>C8+E8+G8</f>
        <v>4913</v>
      </c>
      <c r="J8" s="349">
        <f t="shared" ref="J8:J18" si="3">((I8/(3*$B8)))-1</f>
        <v>-0.34388354700854706</v>
      </c>
      <c r="K8" s="299">
        <v>1829</v>
      </c>
      <c r="L8" s="368">
        <f t="shared" ref="L8:L18" si="4">((K8/$B8))-1</f>
        <v>-0.2672275641025641</v>
      </c>
      <c r="M8" s="299">
        <v>1998</v>
      </c>
      <c r="N8" s="368">
        <f t="shared" ref="N8:N18" si="5">((M8/$B8))-1</f>
        <v>-0.19951923076923073</v>
      </c>
      <c r="O8" s="299">
        <v>1791</v>
      </c>
      <c r="P8" s="368">
        <f t="shared" ref="P8:P18" si="6">((O8/$B8))-1</f>
        <v>-0.28245192307692313</v>
      </c>
      <c r="Q8" s="348">
        <f t="shared" ref="Q8:Q17" si="7">K8+M8+O8</f>
        <v>5618</v>
      </c>
      <c r="R8" s="349">
        <f t="shared" ref="R8:R18" si="8">((Q8/(3*$B8)))-1</f>
        <v>-0.24973290598290598</v>
      </c>
    </row>
    <row r="9" spans="1:18" x14ac:dyDescent="0.25">
      <c r="A9" s="303" t="s">
        <v>164</v>
      </c>
      <c r="B9" s="311">
        <v>936</v>
      </c>
      <c r="C9" s="305">
        <v>1157</v>
      </c>
      <c r="D9" s="309">
        <f t="shared" si="0"/>
        <v>0.23611111111111116</v>
      </c>
      <c r="E9" s="305">
        <v>944</v>
      </c>
      <c r="F9" s="309">
        <f t="shared" si="1"/>
        <v>8.5470085470085166E-3</v>
      </c>
      <c r="G9" s="305">
        <v>1041</v>
      </c>
      <c r="H9" s="309">
        <f t="shared" si="2"/>
        <v>0.11217948717948723</v>
      </c>
      <c r="I9" s="307">
        <f>C9+E9+G9</f>
        <v>3142</v>
      </c>
      <c r="J9" s="314">
        <f t="shared" si="3"/>
        <v>0.11894586894586889</v>
      </c>
      <c r="K9" s="305">
        <v>813</v>
      </c>
      <c r="L9" s="309">
        <f t="shared" si="4"/>
        <v>-0.13141025641025639</v>
      </c>
      <c r="M9" s="305">
        <v>757</v>
      </c>
      <c r="N9" s="309">
        <f t="shared" si="5"/>
        <v>-0.19123931623931623</v>
      </c>
      <c r="O9" s="305">
        <v>954</v>
      </c>
      <c r="P9" s="309">
        <f t="shared" si="6"/>
        <v>1.9230769230769162E-2</v>
      </c>
      <c r="Q9" s="307">
        <f t="shared" si="7"/>
        <v>2524</v>
      </c>
      <c r="R9" s="314">
        <f t="shared" si="8"/>
        <v>-0.10113960113960119</v>
      </c>
    </row>
    <row r="10" spans="1:18" ht="24" x14ac:dyDescent="0.25">
      <c r="A10" s="438" t="s">
        <v>180</v>
      </c>
      <c r="B10" s="311">
        <v>208</v>
      </c>
      <c r="C10" s="305">
        <v>0</v>
      </c>
      <c r="D10" s="309">
        <f t="shared" si="0"/>
        <v>-1</v>
      </c>
      <c r="E10" s="305">
        <v>72</v>
      </c>
      <c r="F10" s="309">
        <f t="shared" si="1"/>
        <v>-0.65384615384615385</v>
      </c>
      <c r="G10" s="305">
        <v>181</v>
      </c>
      <c r="H10" s="309">
        <f t="shared" si="2"/>
        <v>-0.12980769230769229</v>
      </c>
      <c r="I10" s="307">
        <f>C10+E10+G10</f>
        <v>253</v>
      </c>
      <c r="J10" s="314">
        <f t="shared" si="3"/>
        <v>-0.59455128205128205</v>
      </c>
      <c r="K10" s="305">
        <v>735</v>
      </c>
      <c r="L10" s="309">
        <f t="shared" si="4"/>
        <v>2.5336538461538463</v>
      </c>
      <c r="M10" s="305">
        <v>179</v>
      </c>
      <c r="N10" s="309">
        <f t="shared" si="5"/>
        <v>-0.13942307692307687</v>
      </c>
      <c r="O10" s="305">
        <v>77</v>
      </c>
      <c r="P10" s="309">
        <f t="shared" si="6"/>
        <v>-0.62980769230769229</v>
      </c>
      <c r="Q10" s="307">
        <f t="shared" si="7"/>
        <v>991</v>
      </c>
      <c r="R10" s="314">
        <f t="shared" si="8"/>
        <v>0.58814102564102555</v>
      </c>
    </row>
    <row r="11" spans="1:18" ht="24" x14ac:dyDescent="0.25">
      <c r="A11" s="438" t="s">
        <v>190</v>
      </c>
      <c r="B11" s="311">
        <v>832</v>
      </c>
      <c r="C11" s="305">
        <v>0</v>
      </c>
      <c r="D11" s="309">
        <f t="shared" si="0"/>
        <v>-1</v>
      </c>
      <c r="E11" s="305">
        <v>122</v>
      </c>
      <c r="F11" s="309">
        <f t="shared" si="1"/>
        <v>-0.85336538461538458</v>
      </c>
      <c r="G11" s="305">
        <v>315</v>
      </c>
      <c r="H11" s="309">
        <f t="shared" si="2"/>
        <v>-0.62139423076923084</v>
      </c>
      <c r="I11" s="307">
        <f t="shared" ref="I11:I17" si="9">C11+E11+G11</f>
        <v>437</v>
      </c>
      <c r="J11" s="314">
        <f t="shared" ref="J11:J17" si="10">((I11/(3*$B11)))-1</f>
        <v>-0.82491987179487181</v>
      </c>
      <c r="K11" s="305">
        <v>938</v>
      </c>
      <c r="L11" s="309">
        <f t="shared" si="4"/>
        <v>0.12740384615384626</v>
      </c>
      <c r="M11" s="305">
        <v>808</v>
      </c>
      <c r="N11" s="309">
        <f t="shared" si="5"/>
        <v>-2.8846153846153855E-2</v>
      </c>
      <c r="O11" s="305">
        <v>66</v>
      </c>
      <c r="P11" s="309">
        <f t="shared" si="6"/>
        <v>-0.92067307692307687</v>
      </c>
      <c r="Q11" s="307">
        <f t="shared" si="7"/>
        <v>1812</v>
      </c>
      <c r="R11" s="314">
        <f t="shared" si="8"/>
        <v>-0.27403846153846156</v>
      </c>
    </row>
    <row r="12" spans="1:18" ht="24" x14ac:dyDescent="0.25">
      <c r="A12" s="438" t="s">
        <v>7</v>
      </c>
      <c r="B12" s="311">
        <v>222</v>
      </c>
      <c r="C12" s="305">
        <v>433</v>
      </c>
      <c r="D12" s="309">
        <f t="shared" si="0"/>
        <v>0.95045045045045051</v>
      </c>
      <c r="E12" s="305">
        <v>513</v>
      </c>
      <c r="F12" s="309">
        <f t="shared" si="1"/>
        <v>1.310810810810811</v>
      </c>
      <c r="G12" s="305">
        <v>209</v>
      </c>
      <c r="H12" s="309">
        <f t="shared" si="2"/>
        <v>-5.8558558558558516E-2</v>
      </c>
      <c r="I12" s="307">
        <f t="shared" si="9"/>
        <v>1155</v>
      </c>
      <c r="J12" s="314">
        <f t="shared" si="10"/>
        <v>0.73423423423423428</v>
      </c>
      <c r="K12" s="305">
        <v>184</v>
      </c>
      <c r="L12" s="309">
        <f t="shared" si="4"/>
        <v>-0.1711711711711712</v>
      </c>
      <c r="M12" s="305">
        <v>85</v>
      </c>
      <c r="N12" s="309">
        <f t="shared" si="5"/>
        <v>-0.61711711711711714</v>
      </c>
      <c r="O12" s="305">
        <v>2</v>
      </c>
      <c r="P12" s="309">
        <f t="shared" si="6"/>
        <v>-0.99099099099099097</v>
      </c>
      <c r="Q12" s="307">
        <f t="shared" si="7"/>
        <v>271</v>
      </c>
      <c r="R12" s="314">
        <f t="shared" si="8"/>
        <v>-0.5930930930930931</v>
      </c>
    </row>
    <row r="13" spans="1:18" x14ac:dyDescent="0.25">
      <c r="A13" s="303" t="s">
        <v>169</v>
      </c>
      <c r="B13" s="311">
        <v>888</v>
      </c>
      <c r="C13" s="305">
        <v>888</v>
      </c>
      <c r="D13" s="309">
        <f t="shared" si="0"/>
        <v>0</v>
      </c>
      <c r="E13" s="305">
        <v>826</v>
      </c>
      <c r="F13" s="309">
        <f t="shared" si="1"/>
        <v>-6.9819819819819773E-2</v>
      </c>
      <c r="G13" s="305">
        <v>559</v>
      </c>
      <c r="H13" s="309">
        <f t="shared" si="2"/>
        <v>-0.37049549549549554</v>
      </c>
      <c r="I13" s="307">
        <f t="shared" si="9"/>
        <v>2273</v>
      </c>
      <c r="J13" s="314">
        <f t="shared" si="10"/>
        <v>-0.14677177177177181</v>
      </c>
      <c r="K13" s="305">
        <v>364</v>
      </c>
      <c r="L13" s="309">
        <f t="shared" si="4"/>
        <v>-0.59009009009009006</v>
      </c>
      <c r="M13" s="305">
        <v>111</v>
      </c>
      <c r="N13" s="309">
        <f t="shared" si="5"/>
        <v>-0.875</v>
      </c>
      <c r="O13" s="305">
        <v>0</v>
      </c>
      <c r="P13" s="309">
        <f t="shared" si="6"/>
        <v>-1</v>
      </c>
      <c r="Q13" s="307">
        <f t="shared" si="7"/>
        <v>475</v>
      </c>
      <c r="R13" s="314">
        <f t="shared" si="8"/>
        <v>-0.82169669669669676</v>
      </c>
    </row>
    <row r="14" spans="1:18" x14ac:dyDescent="0.25">
      <c r="A14" s="303" t="s">
        <v>165</v>
      </c>
      <c r="B14" s="311">
        <v>526</v>
      </c>
      <c r="C14" s="305">
        <v>3130</v>
      </c>
      <c r="D14" s="309">
        <f t="shared" si="0"/>
        <v>4.9505703422053235</v>
      </c>
      <c r="E14" s="305">
        <v>3427</v>
      </c>
      <c r="F14" s="309">
        <f t="shared" si="1"/>
        <v>5.5152091254752849</v>
      </c>
      <c r="G14" s="305">
        <v>436</v>
      </c>
      <c r="H14" s="309">
        <f t="shared" si="2"/>
        <v>-0.17110266159695819</v>
      </c>
      <c r="I14" s="307">
        <f t="shared" si="9"/>
        <v>6993</v>
      </c>
      <c r="J14" s="314">
        <f t="shared" si="10"/>
        <v>3.4315589353612168</v>
      </c>
      <c r="K14" s="305">
        <v>2722</v>
      </c>
      <c r="L14" s="309">
        <f t="shared" si="4"/>
        <v>4.1749049429657799</v>
      </c>
      <c r="M14" s="305">
        <v>630</v>
      </c>
      <c r="N14" s="309">
        <f t="shared" si="5"/>
        <v>0.19771863117870714</v>
      </c>
      <c r="O14" s="305">
        <v>422</v>
      </c>
      <c r="P14" s="309">
        <f t="shared" si="6"/>
        <v>-0.19771863117870725</v>
      </c>
      <c r="Q14" s="307">
        <f t="shared" si="7"/>
        <v>3774</v>
      </c>
      <c r="R14" s="314">
        <f t="shared" si="8"/>
        <v>1.3916349809885933</v>
      </c>
    </row>
    <row r="15" spans="1:18" x14ac:dyDescent="0.25">
      <c r="A15" s="303" t="s">
        <v>155</v>
      </c>
      <c r="B15" s="311">
        <v>263</v>
      </c>
      <c r="C15" s="305">
        <v>1225</v>
      </c>
      <c r="D15" s="309">
        <f t="shared" si="0"/>
        <v>3.6577946768060841</v>
      </c>
      <c r="E15" s="305">
        <v>1424</v>
      </c>
      <c r="F15" s="309">
        <f t="shared" si="1"/>
        <v>4.414448669201521</v>
      </c>
      <c r="G15" s="305">
        <v>223</v>
      </c>
      <c r="H15" s="309">
        <f t="shared" si="2"/>
        <v>-0.15209125475285168</v>
      </c>
      <c r="I15" s="307">
        <f t="shared" si="9"/>
        <v>2872</v>
      </c>
      <c r="J15" s="314">
        <f t="shared" si="10"/>
        <v>2.6400506970849178</v>
      </c>
      <c r="K15" s="305">
        <v>1245</v>
      </c>
      <c r="L15" s="309">
        <f t="shared" si="4"/>
        <v>3.7338403041825092</v>
      </c>
      <c r="M15" s="305">
        <v>182</v>
      </c>
      <c r="N15" s="309">
        <f t="shared" si="5"/>
        <v>-0.30798479087452468</v>
      </c>
      <c r="O15" s="305">
        <v>168</v>
      </c>
      <c r="P15" s="309">
        <f t="shared" si="6"/>
        <v>-0.36121673003802279</v>
      </c>
      <c r="Q15" s="307">
        <f t="shared" si="7"/>
        <v>1595</v>
      </c>
      <c r="R15" s="314">
        <f t="shared" si="8"/>
        <v>1.0215462610899873</v>
      </c>
    </row>
    <row r="16" spans="1:18" x14ac:dyDescent="0.25">
      <c r="A16" s="303" t="s">
        <v>156</v>
      </c>
      <c r="B16" s="311">
        <v>263</v>
      </c>
      <c r="C16" s="305">
        <v>141</v>
      </c>
      <c r="D16" s="309">
        <f t="shared" si="0"/>
        <v>-0.46387832699619769</v>
      </c>
      <c r="E16" s="305">
        <v>72</v>
      </c>
      <c r="F16" s="309">
        <f t="shared" si="1"/>
        <v>-0.72623574144486691</v>
      </c>
      <c r="G16" s="305">
        <v>0</v>
      </c>
      <c r="H16" s="309">
        <f t="shared" si="2"/>
        <v>-1</v>
      </c>
      <c r="I16" s="307">
        <f t="shared" si="9"/>
        <v>213</v>
      </c>
      <c r="J16" s="314">
        <f t="shared" si="10"/>
        <v>-0.73003802281368824</v>
      </c>
      <c r="K16" s="305">
        <v>131</v>
      </c>
      <c r="L16" s="309">
        <f t="shared" si="4"/>
        <v>-0.50190114068441072</v>
      </c>
      <c r="M16" s="305">
        <v>41</v>
      </c>
      <c r="N16" s="309">
        <f t="shared" si="5"/>
        <v>-0.844106463878327</v>
      </c>
      <c r="O16" s="305">
        <v>0</v>
      </c>
      <c r="P16" s="309">
        <f t="shared" si="6"/>
        <v>-1</v>
      </c>
      <c r="Q16" s="307">
        <f t="shared" si="7"/>
        <v>172</v>
      </c>
      <c r="R16" s="314">
        <f t="shared" si="8"/>
        <v>-0.78200253485424587</v>
      </c>
    </row>
    <row r="17" spans="1:18" ht="15.75" thickBot="1" x14ac:dyDescent="0.3">
      <c r="A17" s="369" t="s">
        <v>166</v>
      </c>
      <c r="B17" s="370">
        <v>166</v>
      </c>
      <c r="C17" s="371">
        <v>107</v>
      </c>
      <c r="D17" s="372">
        <f t="shared" si="0"/>
        <v>-0.35542168674698793</v>
      </c>
      <c r="E17" s="310">
        <v>158</v>
      </c>
      <c r="F17" s="372">
        <f t="shared" si="1"/>
        <v>-4.8192771084337394E-2</v>
      </c>
      <c r="G17" s="310">
        <v>89</v>
      </c>
      <c r="H17" s="372">
        <f t="shared" si="2"/>
        <v>-0.46385542168674698</v>
      </c>
      <c r="I17" s="307">
        <f t="shared" si="9"/>
        <v>354</v>
      </c>
      <c r="J17" s="314">
        <f t="shared" si="10"/>
        <v>-0.28915662650602414</v>
      </c>
      <c r="K17" s="308">
        <v>120</v>
      </c>
      <c r="L17" s="372">
        <f t="shared" si="4"/>
        <v>-0.27710843373493976</v>
      </c>
      <c r="M17" s="310">
        <v>123</v>
      </c>
      <c r="N17" s="372">
        <f t="shared" si="5"/>
        <v>-0.25903614457831325</v>
      </c>
      <c r="O17" s="310">
        <v>101</v>
      </c>
      <c r="P17" s="373">
        <f t="shared" si="6"/>
        <v>-0.39156626506024095</v>
      </c>
      <c r="Q17" s="331">
        <f t="shared" si="7"/>
        <v>344</v>
      </c>
      <c r="R17" s="306">
        <f t="shared" si="8"/>
        <v>-0.30923694779116462</v>
      </c>
    </row>
    <row r="18" spans="1:18" ht="15.75" thickBot="1" x14ac:dyDescent="0.3">
      <c r="A18" s="44" t="s">
        <v>6</v>
      </c>
      <c r="B18" s="46">
        <f>SUM(B7:B17)</f>
        <v>14000</v>
      </c>
      <c r="C18" s="48">
        <f>SUM(C7:C17)</f>
        <v>14909</v>
      </c>
      <c r="D18" s="52">
        <f t="shared" si="0"/>
        <v>6.4928571428571447E-2</v>
      </c>
      <c r="E18" s="48">
        <f>SUM(E7:E17)</f>
        <v>13568</v>
      </c>
      <c r="F18" s="52">
        <f t="shared" si="1"/>
        <v>-3.0857142857142805E-2</v>
      </c>
      <c r="G18" s="48">
        <f>SUM(G7:G17)</f>
        <v>10402</v>
      </c>
      <c r="H18" s="52">
        <f t="shared" si="2"/>
        <v>-0.25700000000000001</v>
      </c>
      <c r="I18" s="47">
        <f>C18+E18+G18</f>
        <v>38879</v>
      </c>
      <c r="J18" s="122">
        <f t="shared" si="3"/>
        <v>-7.4309523809523825E-2</v>
      </c>
      <c r="K18" s="48">
        <f>SUM(K7:K17)</f>
        <v>14443</v>
      </c>
      <c r="L18" s="52">
        <f t="shared" si="4"/>
        <v>3.1642857142857084E-2</v>
      </c>
      <c r="M18" s="48">
        <f>SUM(M7:M17)</f>
        <v>11113</v>
      </c>
      <c r="N18" s="52">
        <f t="shared" si="5"/>
        <v>-0.20621428571428568</v>
      </c>
      <c r="O18" s="48">
        <f>SUM(O7:O17)</f>
        <v>8929</v>
      </c>
      <c r="P18" s="52">
        <f t="shared" si="6"/>
        <v>-0.36221428571428571</v>
      </c>
      <c r="Q18" s="47">
        <f>K18+M18+O18</f>
        <v>34485</v>
      </c>
      <c r="R18" s="122">
        <f t="shared" si="8"/>
        <v>-0.17892857142857144</v>
      </c>
    </row>
    <row r="21" spans="1:18" ht="15.75" hidden="1" x14ac:dyDescent="0.25">
      <c r="A21" s="603" t="s">
        <v>210</v>
      </c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</row>
    <row r="22" spans="1:18" ht="24.75" hidden="1" thickBot="1" x14ac:dyDescent="0.3">
      <c r="A22" s="88" t="s">
        <v>12</v>
      </c>
      <c r="B22" s="89" t="s">
        <v>13</v>
      </c>
      <c r="C22" s="111" t="str">
        <f t="shared" ref="C22:R22" si="11">C6</f>
        <v>JUL</v>
      </c>
      <c r="D22" s="112" t="str">
        <f t="shared" si="11"/>
        <v>%</v>
      </c>
      <c r="E22" s="111" t="str">
        <f t="shared" si="11"/>
        <v>AGO</v>
      </c>
      <c r="F22" s="112" t="str">
        <f t="shared" si="11"/>
        <v>%</v>
      </c>
      <c r="G22" s="111" t="str">
        <f t="shared" si="11"/>
        <v>SET</v>
      </c>
      <c r="H22" s="112" t="str">
        <f t="shared" si="11"/>
        <v>%</v>
      </c>
      <c r="I22" s="113" t="str">
        <f t="shared" si="11"/>
        <v>Trimestre</v>
      </c>
      <c r="J22" s="113" t="str">
        <f t="shared" si="11"/>
        <v>%</v>
      </c>
      <c r="K22" s="111" t="str">
        <f t="shared" si="11"/>
        <v>OUT</v>
      </c>
      <c r="L22" s="112" t="str">
        <f t="shared" si="11"/>
        <v>%</v>
      </c>
      <c r="M22" s="111" t="str">
        <f t="shared" si="11"/>
        <v>NOV</v>
      </c>
      <c r="N22" s="112" t="str">
        <f t="shared" si="11"/>
        <v>%</v>
      </c>
      <c r="O22" s="111" t="str">
        <f t="shared" si="11"/>
        <v>DEZ</v>
      </c>
      <c r="P22" s="112" t="str">
        <f t="shared" si="11"/>
        <v>%</v>
      </c>
      <c r="Q22" s="113" t="str">
        <f t="shared" si="11"/>
        <v>Trimestre</v>
      </c>
      <c r="R22" s="113" t="str">
        <f t="shared" si="11"/>
        <v>%</v>
      </c>
    </row>
    <row r="23" spans="1:18" ht="15.75" hidden="1" thickTop="1" x14ac:dyDescent="0.25">
      <c r="A23" s="84" t="s">
        <v>157</v>
      </c>
      <c r="B23" s="85">
        <v>36</v>
      </c>
      <c r="C23" s="86"/>
      <c r="D23" s="87">
        <f>((C23/$B23))-1</f>
        <v>-1</v>
      </c>
      <c r="E23" s="285"/>
      <c r="F23" s="87">
        <f>((E23/$B23))-1</f>
        <v>-1</v>
      </c>
      <c r="G23" s="285"/>
      <c r="H23" s="87">
        <f>((G23/$B23))-1</f>
        <v>-1</v>
      </c>
      <c r="I23" s="5">
        <f>C23+E23+G23</f>
        <v>0</v>
      </c>
      <c r="J23" s="8">
        <f>((I23/(3*$B23)))-1</f>
        <v>-1</v>
      </c>
      <c r="K23" s="285"/>
      <c r="L23" s="87">
        <f>((K23/$B23))-1</f>
        <v>-1</v>
      </c>
      <c r="M23" s="285"/>
      <c r="N23" s="87">
        <f>((M23/$B23))-1</f>
        <v>-1</v>
      </c>
      <c r="O23" s="285"/>
      <c r="P23" s="87">
        <f>((O23/$B23))-1</f>
        <v>-1</v>
      </c>
      <c r="Q23" s="5">
        <f>K23+M23+O23</f>
        <v>0</v>
      </c>
      <c r="R23" s="8">
        <f>((Q23/(3*$B23)))-1</f>
        <v>-1</v>
      </c>
    </row>
    <row r="24" spans="1:18" hidden="1" x14ac:dyDescent="0.25">
      <c r="A24" s="84" t="s">
        <v>158</v>
      </c>
      <c r="B24" s="85">
        <v>6</v>
      </c>
      <c r="C24" s="86"/>
      <c r="D24" s="87">
        <f t="shared" ref="D24:D34" si="12">((C24/$B24))-1</f>
        <v>-1</v>
      </c>
      <c r="E24" s="285"/>
      <c r="F24" s="87">
        <f t="shared" ref="F24:F34" si="13">((E24/$B24))-1</f>
        <v>-1</v>
      </c>
      <c r="G24" s="285"/>
      <c r="H24" s="87">
        <f t="shared" ref="H24:H34" si="14">((G24/$B24))-1</f>
        <v>-1</v>
      </c>
      <c r="I24" s="5">
        <f t="shared" ref="I24:I33" si="15">C24+E24+G24</f>
        <v>0</v>
      </c>
      <c r="J24" s="8">
        <f t="shared" ref="J24:J33" si="16">((I24/(3*$B24)))-1</f>
        <v>-1</v>
      </c>
      <c r="K24" s="285"/>
      <c r="L24" s="87">
        <f t="shared" ref="L24:L34" si="17">((K24/$B24))-1</f>
        <v>-1</v>
      </c>
      <c r="M24" s="285"/>
      <c r="N24" s="87">
        <f t="shared" ref="N24:N34" si="18">((M24/$B24))-1</f>
        <v>-1</v>
      </c>
      <c r="O24" s="285"/>
      <c r="P24" s="87">
        <f t="shared" ref="P24:P34" si="19">((O24/$B24))-1</f>
        <v>-1</v>
      </c>
      <c r="Q24" s="5">
        <f t="shared" ref="Q24:Q33" si="20">K24+M24+O24</f>
        <v>0</v>
      </c>
      <c r="R24" s="8">
        <f t="shared" ref="R24:R33" si="21">((Q24/(3*$B24)))-1</f>
        <v>-1</v>
      </c>
    </row>
    <row r="25" spans="1:18" hidden="1" x14ac:dyDescent="0.25">
      <c r="A25" s="367" t="s">
        <v>167</v>
      </c>
      <c r="B25" s="312">
        <v>6</v>
      </c>
      <c r="C25" s="299"/>
      <c r="D25" s="368">
        <f t="shared" si="12"/>
        <v>-1</v>
      </c>
      <c r="E25" s="299"/>
      <c r="F25" s="368">
        <f t="shared" si="13"/>
        <v>-1</v>
      </c>
      <c r="G25" s="299"/>
      <c r="H25" s="368">
        <f t="shared" si="14"/>
        <v>-1</v>
      </c>
      <c r="I25" s="297">
        <f t="shared" si="15"/>
        <v>0</v>
      </c>
      <c r="J25" s="291">
        <f t="shared" si="16"/>
        <v>-1</v>
      </c>
      <c r="K25" s="299"/>
      <c r="L25" s="368">
        <f t="shared" si="17"/>
        <v>-1</v>
      </c>
      <c r="M25" s="299"/>
      <c r="N25" s="368">
        <f t="shared" si="18"/>
        <v>-1</v>
      </c>
      <c r="O25" s="299"/>
      <c r="P25" s="368">
        <f t="shared" si="19"/>
        <v>-1</v>
      </c>
      <c r="Q25" s="297">
        <f t="shared" si="20"/>
        <v>0</v>
      </c>
      <c r="R25" s="291">
        <f t="shared" si="21"/>
        <v>-1</v>
      </c>
    </row>
    <row r="26" spans="1:18" hidden="1" x14ac:dyDescent="0.25">
      <c r="A26" s="303" t="s">
        <v>183</v>
      </c>
      <c r="B26" s="311">
        <v>1</v>
      </c>
      <c r="C26" s="305"/>
      <c r="D26" s="309">
        <f t="shared" si="12"/>
        <v>-1</v>
      </c>
      <c r="E26" s="305"/>
      <c r="F26" s="309">
        <f t="shared" si="13"/>
        <v>-1</v>
      </c>
      <c r="G26" s="305"/>
      <c r="H26" s="309">
        <f t="shared" si="14"/>
        <v>-1</v>
      </c>
      <c r="I26" s="307">
        <f t="shared" si="15"/>
        <v>0</v>
      </c>
      <c r="J26" s="314">
        <f t="shared" si="16"/>
        <v>-1</v>
      </c>
      <c r="K26" s="305"/>
      <c r="L26" s="309">
        <f t="shared" si="17"/>
        <v>-1</v>
      </c>
      <c r="M26" s="305"/>
      <c r="N26" s="309">
        <f t="shared" si="18"/>
        <v>-1</v>
      </c>
      <c r="O26" s="305"/>
      <c r="P26" s="309">
        <f t="shared" si="19"/>
        <v>-1</v>
      </c>
      <c r="Q26" s="307">
        <f t="shared" si="20"/>
        <v>0</v>
      </c>
      <c r="R26" s="314">
        <f t="shared" si="21"/>
        <v>-1</v>
      </c>
    </row>
    <row r="27" spans="1:18" hidden="1" x14ac:dyDescent="0.25">
      <c r="A27" s="303" t="s">
        <v>184</v>
      </c>
      <c r="B27" s="311">
        <v>2</v>
      </c>
      <c r="C27" s="305"/>
      <c r="D27" s="309">
        <f t="shared" si="12"/>
        <v>-1</v>
      </c>
      <c r="E27" s="305"/>
      <c r="F27" s="309">
        <f t="shared" si="13"/>
        <v>-1</v>
      </c>
      <c r="G27" s="305"/>
      <c r="H27" s="309">
        <f t="shared" si="14"/>
        <v>-1</v>
      </c>
      <c r="I27" s="307">
        <f t="shared" si="15"/>
        <v>0</v>
      </c>
      <c r="J27" s="314">
        <f t="shared" si="16"/>
        <v>-1</v>
      </c>
      <c r="K27" s="305"/>
      <c r="L27" s="309">
        <f t="shared" si="17"/>
        <v>-1</v>
      </c>
      <c r="M27" s="305"/>
      <c r="N27" s="309">
        <f t="shared" si="18"/>
        <v>-1</v>
      </c>
      <c r="O27" s="305"/>
      <c r="P27" s="309">
        <f t="shared" si="19"/>
        <v>-1</v>
      </c>
      <c r="Q27" s="307">
        <f t="shared" si="20"/>
        <v>0</v>
      </c>
      <c r="R27" s="314">
        <f t="shared" si="21"/>
        <v>-1</v>
      </c>
    </row>
    <row r="28" spans="1:18" hidden="1" x14ac:dyDescent="0.25">
      <c r="A28" s="303" t="s">
        <v>160</v>
      </c>
      <c r="B28" s="311">
        <v>2</v>
      </c>
      <c r="C28" s="305"/>
      <c r="D28" s="309">
        <f t="shared" si="12"/>
        <v>-1</v>
      </c>
      <c r="E28" s="305"/>
      <c r="F28" s="309">
        <f t="shared" si="13"/>
        <v>-1</v>
      </c>
      <c r="G28" s="305"/>
      <c r="H28" s="309">
        <f t="shared" si="14"/>
        <v>-1</v>
      </c>
      <c r="I28" s="307">
        <f t="shared" si="15"/>
        <v>0</v>
      </c>
      <c r="J28" s="314">
        <f t="shared" si="16"/>
        <v>-1</v>
      </c>
      <c r="K28" s="305"/>
      <c r="L28" s="309">
        <f t="shared" si="17"/>
        <v>-1</v>
      </c>
      <c r="M28" s="305"/>
      <c r="N28" s="309">
        <f t="shared" si="18"/>
        <v>-1</v>
      </c>
      <c r="O28" s="305"/>
      <c r="P28" s="309">
        <f t="shared" si="19"/>
        <v>-1</v>
      </c>
      <c r="Q28" s="307">
        <f t="shared" si="20"/>
        <v>0</v>
      </c>
      <c r="R28" s="314">
        <f t="shared" si="21"/>
        <v>-1</v>
      </c>
    </row>
    <row r="29" spans="1:18" hidden="1" x14ac:dyDescent="0.25">
      <c r="A29" s="303" t="s">
        <v>161</v>
      </c>
      <c r="B29" s="311">
        <v>1</v>
      </c>
      <c r="C29" s="305"/>
      <c r="D29" s="309">
        <f t="shared" si="12"/>
        <v>-1</v>
      </c>
      <c r="E29" s="305"/>
      <c r="F29" s="309">
        <f t="shared" si="13"/>
        <v>-1</v>
      </c>
      <c r="G29" s="305"/>
      <c r="H29" s="309">
        <f t="shared" si="14"/>
        <v>-1</v>
      </c>
      <c r="I29" s="307">
        <f t="shared" si="15"/>
        <v>0</v>
      </c>
      <c r="J29" s="314">
        <f t="shared" si="16"/>
        <v>-1</v>
      </c>
      <c r="K29" s="305"/>
      <c r="L29" s="309">
        <f t="shared" si="17"/>
        <v>-1</v>
      </c>
      <c r="M29" s="305"/>
      <c r="N29" s="309">
        <f t="shared" si="18"/>
        <v>-1</v>
      </c>
      <c r="O29" s="305"/>
      <c r="P29" s="309">
        <f t="shared" si="19"/>
        <v>-1</v>
      </c>
      <c r="Q29" s="307">
        <f t="shared" si="20"/>
        <v>0</v>
      </c>
      <c r="R29" s="314">
        <f t="shared" si="21"/>
        <v>-1</v>
      </c>
    </row>
    <row r="30" spans="1:18" hidden="1" x14ac:dyDescent="0.25">
      <c r="A30" s="303" t="s">
        <v>162</v>
      </c>
      <c r="B30" s="311">
        <v>1</v>
      </c>
      <c r="C30" s="305"/>
      <c r="D30" s="309">
        <f t="shared" si="12"/>
        <v>-1</v>
      </c>
      <c r="E30" s="305"/>
      <c r="F30" s="309">
        <f t="shared" si="13"/>
        <v>-1</v>
      </c>
      <c r="G30" s="305"/>
      <c r="H30" s="309">
        <f t="shared" si="14"/>
        <v>-1</v>
      </c>
      <c r="I30" s="307">
        <f t="shared" si="15"/>
        <v>0</v>
      </c>
      <c r="J30" s="314">
        <f t="shared" si="16"/>
        <v>-1</v>
      </c>
      <c r="K30" s="305"/>
      <c r="L30" s="309">
        <f t="shared" si="17"/>
        <v>-1</v>
      </c>
      <c r="M30" s="305"/>
      <c r="N30" s="309">
        <f t="shared" si="18"/>
        <v>-1</v>
      </c>
      <c r="O30" s="305"/>
      <c r="P30" s="309">
        <f t="shared" si="19"/>
        <v>-1</v>
      </c>
      <c r="Q30" s="307">
        <f t="shared" si="20"/>
        <v>0</v>
      </c>
      <c r="R30" s="314">
        <f t="shared" si="21"/>
        <v>-1</v>
      </c>
    </row>
    <row r="31" spans="1:18" hidden="1" x14ac:dyDescent="0.25">
      <c r="A31" s="303" t="s">
        <v>168</v>
      </c>
      <c r="B31" s="311">
        <v>1</v>
      </c>
      <c r="C31" s="305"/>
      <c r="D31" s="309">
        <f t="shared" si="12"/>
        <v>-1</v>
      </c>
      <c r="E31" s="305"/>
      <c r="F31" s="309">
        <f t="shared" si="13"/>
        <v>-1</v>
      </c>
      <c r="G31" s="305"/>
      <c r="H31" s="309">
        <f t="shared" si="14"/>
        <v>-1</v>
      </c>
      <c r="I31" s="307">
        <f t="shared" si="15"/>
        <v>0</v>
      </c>
      <c r="J31" s="314">
        <f t="shared" si="16"/>
        <v>-1</v>
      </c>
      <c r="K31" s="305"/>
      <c r="L31" s="309">
        <f t="shared" si="17"/>
        <v>-1</v>
      </c>
      <c r="M31" s="305"/>
      <c r="N31" s="309">
        <f t="shared" si="18"/>
        <v>-1</v>
      </c>
      <c r="O31" s="305"/>
      <c r="P31" s="309">
        <f t="shared" si="19"/>
        <v>-1</v>
      </c>
      <c r="Q31" s="307">
        <f t="shared" si="20"/>
        <v>0</v>
      </c>
      <c r="R31" s="314">
        <f t="shared" si="21"/>
        <v>-1</v>
      </c>
    </row>
    <row r="32" spans="1:18" hidden="1" x14ac:dyDescent="0.25">
      <c r="A32" s="303" t="s">
        <v>146</v>
      </c>
      <c r="B32" s="311">
        <v>3</v>
      </c>
      <c r="C32" s="305"/>
      <c r="D32" s="309">
        <f t="shared" si="12"/>
        <v>-1</v>
      </c>
      <c r="E32" s="305"/>
      <c r="F32" s="309">
        <f t="shared" si="13"/>
        <v>-1</v>
      </c>
      <c r="G32" s="305"/>
      <c r="H32" s="309">
        <f t="shared" si="14"/>
        <v>-1</v>
      </c>
      <c r="I32" s="307">
        <f t="shared" si="15"/>
        <v>0</v>
      </c>
      <c r="J32" s="314">
        <f t="shared" si="16"/>
        <v>-1</v>
      </c>
      <c r="K32" s="305"/>
      <c r="L32" s="309">
        <f t="shared" si="17"/>
        <v>-1</v>
      </c>
      <c r="M32" s="305"/>
      <c r="N32" s="309">
        <f t="shared" si="18"/>
        <v>-1</v>
      </c>
      <c r="O32" s="305"/>
      <c r="P32" s="309">
        <f t="shared" si="19"/>
        <v>-1</v>
      </c>
      <c r="Q32" s="307">
        <f t="shared" si="20"/>
        <v>0</v>
      </c>
      <c r="R32" s="314">
        <f t="shared" si="21"/>
        <v>-1</v>
      </c>
    </row>
    <row r="33" spans="1:18" ht="15.75" hidden="1" thickBot="1" x14ac:dyDescent="0.3">
      <c r="A33" s="43" t="s">
        <v>174</v>
      </c>
      <c r="B33" s="27">
        <v>2</v>
      </c>
      <c r="C33" s="293"/>
      <c r="D33" s="295">
        <f t="shared" si="12"/>
        <v>-1</v>
      </c>
      <c r="E33" s="294"/>
      <c r="F33" s="295">
        <f t="shared" si="13"/>
        <v>-1</v>
      </c>
      <c r="G33" s="294"/>
      <c r="H33" s="295">
        <f t="shared" si="14"/>
        <v>-1</v>
      </c>
      <c r="I33" s="331">
        <f t="shared" si="15"/>
        <v>0</v>
      </c>
      <c r="J33" s="306">
        <f t="shared" si="16"/>
        <v>-1</v>
      </c>
      <c r="K33" s="294"/>
      <c r="L33" s="295">
        <f t="shared" si="17"/>
        <v>-1</v>
      </c>
      <c r="M33" s="294"/>
      <c r="N33" s="295">
        <f t="shared" si="18"/>
        <v>-1</v>
      </c>
      <c r="O33" s="294"/>
      <c r="P33" s="295">
        <f t="shared" si="19"/>
        <v>-1</v>
      </c>
      <c r="Q33" s="331">
        <f t="shared" si="20"/>
        <v>0</v>
      </c>
      <c r="R33" s="306">
        <f t="shared" si="21"/>
        <v>-1</v>
      </c>
    </row>
    <row r="34" spans="1:18" ht="15.75" hidden="1" thickBot="1" x14ac:dyDescent="0.3">
      <c r="A34" s="44" t="s">
        <v>6</v>
      </c>
      <c r="B34" s="46">
        <f>SUM(B23:B33)</f>
        <v>61</v>
      </c>
      <c r="C34" s="48">
        <f>SUM(C23:C33)</f>
        <v>0</v>
      </c>
      <c r="D34" s="52">
        <f t="shared" si="12"/>
        <v>-1</v>
      </c>
      <c r="E34" s="48">
        <f>SUM(E23:E33)</f>
        <v>0</v>
      </c>
      <c r="F34" s="52">
        <f t="shared" si="13"/>
        <v>-1</v>
      </c>
      <c r="G34" s="48">
        <f>SUM(G23:G33)</f>
        <v>0</v>
      </c>
      <c r="H34" s="52">
        <f t="shared" si="14"/>
        <v>-1</v>
      </c>
      <c r="I34" s="47">
        <f t="shared" ref="I34" si="22">C34+E34+G34</f>
        <v>0</v>
      </c>
      <c r="J34" s="292">
        <f t="shared" ref="J34" si="23">((I34/(3*$B34)))-1</f>
        <v>-1</v>
      </c>
      <c r="K34" s="48">
        <f>SUM(K23:K33)</f>
        <v>0</v>
      </c>
      <c r="L34" s="52">
        <f t="shared" si="17"/>
        <v>-1</v>
      </c>
      <c r="M34" s="48">
        <f>SUM(M23:M33)</f>
        <v>0</v>
      </c>
      <c r="N34" s="52">
        <f t="shared" si="18"/>
        <v>-1</v>
      </c>
      <c r="O34" s="48">
        <f>SUM(O23:O33)</f>
        <v>0</v>
      </c>
      <c r="P34" s="52">
        <f t="shared" si="19"/>
        <v>-1</v>
      </c>
      <c r="Q34" s="47">
        <f t="shared" ref="Q34" si="24">K34+M34+O34</f>
        <v>0</v>
      </c>
      <c r="R34" s="292">
        <f t="shared" ref="R34" si="25">((Q34/(3*$B34)))-1</f>
        <v>-1</v>
      </c>
    </row>
    <row r="35" spans="1:18" hidden="1" x14ac:dyDescent="0.25"/>
    <row r="36" spans="1:18" hidden="1" x14ac:dyDescent="0.25"/>
    <row r="37" spans="1:18" ht="15.75" hidden="1" x14ac:dyDescent="0.25">
      <c r="A37" s="603" t="s">
        <v>264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</row>
    <row r="38" spans="1:18" ht="24.75" hidden="1" thickBot="1" x14ac:dyDescent="0.3">
      <c r="A38" s="82" t="s">
        <v>12</v>
      </c>
      <c r="B38" s="83" t="s">
        <v>13</v>
      </c>
      <c r="C38" s="111" t="str">
        <f t="shared" ref="C38:R38" si="26">C22</f>
        <v>JUL</v>
      </c>
      <c r="D38" s="112" t="str">
        <f t="shared" si="26"/>
        <v>%</v>
      </c>
      <c r="E38" s="111" t="str">
        <f t="shared" si="26"/>
        <v>AGO</v>
      </c>
      <c r="F38" s="112" t="str">
        <f t="shared" si="26"/>
        <v>%</v>
      </c>
      <c r="G38" s="111" t="str">
        <f t="shared" si="26"/>
        <v>SET</v>
      </c>
      <c r="H38" s="112" t="str">
        <f t="shared" si="26"/>
        <v>%</v>
      </c>
      <c r="I38" s="113" t="str">
        <f t="shared" si="26"/>
        <v>Trimestre</v>
      </c>
      <c r="J38" s="113" t="str">
        <f t="shared" si="26"/>
        <v>%</v>
      </c>
      <c r="K38" s="111" t="str">
        <f t="shared" si="26"/>
        <v>OUT</v>
      </c>
      <c r="L38" s="112" t="str">
        <f t="shared" si="26"/>
        <v>%</v>
      </c>
      <c r="M38" s="111" t="str">
        <f t="shared" si="26"/>
        <v>NOV</v>
      </c>
      <c r="N38" s="112" t="str">
        <f t="shared" si="26"/>
        <v>%</v>
      </c>
      <c r="O38" s="111" t="str">
        <f t="shared" si="26"/>
        <v>DEZ</v>
      </c>
      <c r="P38" s="112" t="str">
        <f t="shared" si="26"/>
        <v>%</v>
      </c>
      <c r="Q38" s="113" t="str">
        <f t="shared" si="26"/>
        <v>Trimestre</v>
      </c>
      <c r="R38" s="113" t="str">
        <f t="shared" si="26"/>
        <v>%</v>
      </c>
    </row>
    <row r="39" spans="1:18" ht="15.75" hidden="1" thickTop="1" x14ac:dyDescent="0.25">
      <c r="A39" s="303" t="s">
        <v>165</v>
      </c>
      <c r="B39" s="311">
        <v>13</v>
      </c>
      <c r="C39" s="305"/>
      <c r="D39" s="309">
        <f>((C39/$B39))-1</f>
        <v>-1</v>
      </c>
      <c r="E39" s="305"/>
      <c r="F39" s="309">
        <f t="shared" ref="F39:F41" si="27">((E39/$B39))-1</f>
        <v>-1</v>
      </c>
      <c r="G39" s="305"/>
      <c r="H39" s="309">
        <f t="shared" ref="H39:H41" si="28">((G39/$B39))-1</f>
        <v>-1</v>
      </c>
      <c r="I39" s="307">
        <f t="shared" ref="I39:I41" si="29">C39+E39+G39</f>
        <v>0</v>
      </c>
      <c r="J39" s="314">
        <f t="shared" ref="J39:J41" si="30">((I39/(3*$B39)))-1</f>
        <v>-1</v>
      </c>
      <c r="K39" s="305"/>
      <c r="L39" s="309">
        <f t="shared" ref="L39:L41" si="31">((K39/$B39))-1</f>
        <v>-1</v>
      </c>
      <c r="M39" s="305"/>
      <c r="N39" s="309">
        <f t="shared" ref="N39:N41" si="32">((M39/$B39))-1</f>
        <v>-1</v>
      </c>
      <c r="O39" s="305"/>
      <c r="P39" s="309">
        <f t="shared" ref="P39:P41" si="33">((O39/$B39))-1</f>
        <v>-1</v>
      </c>
      <c r="Q39" s="307">
        <f t="shared" ref="Q39:Q41" si="34">K39+M39+O39</f>
        <v>0</v>
      </c>
      <c r="R39" s="314">
        <f t="shared" ref="R39:R41" si="35">((Q39/(3*$B39)))-1</f>
        <v>-1</v>
      </c>
    </row>
    <row r="40" spans="1:18" ht="15.75" hidden="1" thickBot="1" x14ac:dyDescent="0.3">
      <c r="A40" s="318" t="s">
        <v>155</v>
      </c>
      <c r="B40" s="376">
        <v>12</v>
      </c>
      <c r="C40" s="326"/>
      <c r="D40" s="327">
        <f t="shared" ref="D40:D41" si="36">((C40/$B40))-1</f>
        <v>-1</v>
      </c>
      <c r="E40" s="326"/>
      <c r="F40" s="327">
        <f t="shared" si="27"/>
        <v>-1</v>
      </c>
      <c r="G40" s="326"/>
      <c r="H40" s="327">
        <f t="shared" si="28"/>
        <v>-1</v>
      </c>
      <c r="I40" s="328">
        <f t="shared" si="29"/>
        <v>0</v>
      </c>
      <c r="J40" s="329">
        <f t="shared" si="30"/>
        <v>-1</v>
      </c>
      <c r="K40" s="326"/>
      <c r="L40" s="327">
        <f t="shared" si="31"/>
        <v>-1</v>
      </c>
      <c r="M40" s="326"/>
      <c r="N40" s="327">
        <f t="shared" si="32"/>
        <v>-1</v>
      </c>
      <c r="O40" s="326"/>
      <c r="P40" s="327">
        <f t="shared" si="33"/>
        <v>-1</v>
      </c>
      <c r="Q40" s="328">
        <f t="shared" si="34"/>
        <v>0</v>
      </c>
      <c r="R40" s="329">
        <f t="shared" si="35"/>
        <v>-1</v>
      </c>
    </row>
    <row r="41" spans="1:18" ht="15.75" hidden="1" thickBot="1" x14ac:dyDescent="0.3">
      <c r="A41" s="44" t="s">
        <v>6</v>
      </c>
      <c r="B41" s="46">
        <f>SUM(B39:B40)</f>
        <v>25</v>
      </c>
      <c r="C41" s="48">
        <f>SUM(C39:C40)</f>
        <v>0</v>
      </c>
      <c r="D41" s="52">
        <f t="shared" si="36"/>
        <v>-1</v>
      </c>
      <c r="E41" s="48">
        <f>SUM(E39:E40)</f>
        <v>0</v>
      </c>
      <c r="F41" s="52">
        <f t="shared" si="27"/>
        <v>-1</v>
      </c>
      <c r="G41" s="48">
        <f>SUM(G39:G40)</f>
        <v>0</v>
      </c>
      <c r="H41" s="52">
        <f t="shared" si="28"/>
        <v>-1</v>
      </c>
      <c r="I41" s="47">
        <f t="shared" si="29"/>
        <v>0</v>
      </c>
      <c r="J41" s="53">
        <f t="shared" si="30"/>
        <v>-1</v>
      </c>
      <c r="K41" s="48">
        <f>SUM(K39:K40)</f>
        <v>0</v>
      </c>
      <c r="L41" s="52">
        <f t="shared" si="31"/>
        <v>-1</v>
      </c>
      <c r="M41" s="48">
        <f>SUM(M39:M40)</f>
        <v>0</v>
      </c>
      <c r="N41" s="52">
        <f t="shared" si="32"/>
        <v>-1</v>
      </c>
      <c r="O41" s="48">
        <f>SUM(O39:O40)</f>
        <v>0</v>
      </c>
      <c r="P41" s="52">
        <f t="shared" si="33"/>
        <v>-1</v>
      </c>
      <c r="Q41" s="47">
        <f t="shared" si="34"/>
        <v>0</v>
      </c>
      <c r="R41" s="377">
        <f t="shared" si="35"/>
        <v>-1</v>
      </c>
    </row>
    <row r="42" spans="1:18" hidden="1" x14ac:dyDescent="0.25"/>
    <row r="43" spans="1:18" hidden="1" x14ac:dyDescent="0.25"/>
    <row r="44" spans="1:18" hidden="1" x14ac:dyDescent="0.25"/>
    <row r="45" spans="1:18" hidden="1" x14ac:dyDescent="0.25"/>
    <row r="46" spans="1:18" hidden="1" x14ac:dyDescent="0.25"/>
    <row r="47" spans="1:18" hidden="1" x14ac:dyDescent="0.25"/>
    <row r="48" spans="1:18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5">
    <mergeCell ref="A21:R21"/>
    <mergeCell ref="A5:R5"/>
    <mergeCell ref="A2:R2"/>
    <mergeCell ref="A3:R3"/>
    <mergeCell ref="A37:R3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&amp;L&amp;12Fonte: Sistema WEBSAASS / SMS&amp;R&amp;12pag.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2:R41"/>
  <sheetViews>
    <sheetView showGridLines="0" view="pageBreakPreview" zoomScale="90" zoomScaleNormal="100" zoomScaleSheetLayoutView="90" workbookViewId="0">
      <selection activeCell="A6" sqref="A6"/>
    </sheetView>
  </sheetViews>
  <sheetFormatPr defaultRowHeight="15" x14ac:dyDescent="0.25"/>
  <cols>
    <col min="1" max="1" width="27.85546875" customWidth="1"/>
    <col min="2" max="2" width="11.5703125" customWidth="1"/>
    <col min="3" max="3" width="9.28515625" hidden="1" customWidth="1"/>
    <col min="4" max="4" width="11.140625" hidden="1" customWidth="1"/>
    <col min="5" max="5" width="9.28515625" hidden="1" customWidth="1"/>
    <col min="6" max="6" width="11.140625" hidden="1" customWidth="1"/>
    <col min="7" max="7" width="9.28515625" hidden="1" customWidth="1"/>
    <col min="8" max="8" width="11.140625" hidden="1" customWidth="1"/>
    <col min="9" max="9" width="9.28515625" hidden="1" customWidth="1"/>
    <col min="10" max="10" width="11.140625" hidden="1" customWidth="1"/>
    <col min="11" max="11" width="9.28515625" bestFit="1" customWidth="1"/>
    <col min="12" max="12" width="11.140625" bestFit="1" customWidth="1"/>
    <col min="13" max="13" width="9.28515625" bestFit="1" customWidth="1"/>
    <col min="14" max="14" width="11.140625" bestFit="1" customWidth="1"/>
    <col min="15" max="15" width="9.28515625" bestFit="1" customWidth="1"/>
    <col min="16" max="16" width="11.140625" bestFit="1" customWidth="1"/>
    <col min="17" max="17" width="9.28515625" bestFit="1" customWidth="1"/>
    <col min="18" max="18" width="11.140625" bestFit="1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6.5" thickBot="1" x14ac:dyDescent="0.3">
      <c r="A5" s="609" t="s">
        <v>333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</row>
    <row r="6" spans="1:18" x14ac:dyDescent="0.25">
      <c r="A6" s="452" t="s">
        <v>12</v>
      </c>
      <c r="B6" s="453" t="s">
        <v>13</v>
      </c>
      <c r="C6" s="454" t="str">
        <f>'UBS Vila Dalva'!C6</f>
        <v>JUL</v>
      </c>
      <c r="D6" s="455" t="str">
        <f>'UBS Vila Dalva'!D6</f>
        <v>%</v>
      </c>
      <c r="E6" s="454" t="str">
        <f>'UBS Vila Dalva'!E6</f>
        <v>AGO</v>
      </c>
      <c r="F6" s="455" t="str">
        <f>'UBS Vila Dalva'!F6</f>
        <v>%</v>
      </c>
      <c r="G6" s="454" t="str">
        <f>'UBS Vila Dalva'!G6</f>
        <v>SET</v>
      </c>
      <c r="H6" s="455" t="str">
        <f>'UBS Vila Dalva'!H6</f>
        <v>%</v>
      </c>
      <c r="I6" s="456" t="str">
        <f>'UBS Vila Dalva'!I6</f>
        <v>Trimestre</v>
      </c>
      <c r="J6" s="456" t="str">
        <f>'UBS Vila Dalva'!J6</f>
        <v>%</v>
      </c>
      <c r="K6" s="454" t="str">
        <f>'UBS Vila Dalva'!K6</f>
        <v>OUT</v>
      </c>
      <c r="L6" s="455" t="str">
        <f>'UBS Vila Dalva'!L6</f>
        <v>%</v>
      </c>
      <c r="M6" s="454" t="str">
        <f>'UBS Vila Dalva'!M6</f>
        <v>NOV</v>
      </c>
      <c r="N6" s="455" t="str">
        <f>'UBS Vila Dalva'!N6</f>
        <v>%</v>
      </c>
      <c r="O6" s="454" t="str">
        <f>'UBS Vila Dalva'!O6</f>
        <v>DEZ</v>
      </c>
      <c r="P6" s="455" t="str">
        <f>'UBS Vila Dalva'!P6</f>
        <v>%</v>
      </c>
      <c r="Q6" s="456" t="str">
        <f>'UBS Vila Dalva'!Q6</f>
        <v>Trimestre</v>
      </c>
      <c r="R6" s="457" t="str">
        <f>'UBS Vila Dalva'!R6</f>
        <v>%</v>
      </c>
    </row>
    <row r="7" spans="1:18" x14ac:dyDescent="0.25">
      <c r="A7" s="114" t="s">
        <v>325</v>
      </c>
      <c r="B7" s="311" t="s">
        <v>334</v>
      </c>
      <c r="C7" s="305"/>
      <c r="D7" s="309" t="e">
        <f>((C7/$B7))-1</f>
        <v>#VALUE!</v>
      </c>
      <c r="E7" s="305"/>
      <c r="F7" s="309" t="e">
        <f>((E7/$B7))-1</f>
        <v>#VALUE!</v>
      </c>
      <c r="G7" s="305"/>
      <c r="H7" s="309" t="e">
        <f>((G7/$B7))-1</f>
        <v>#VALUE!</v>
      </c>
      <c r="I7" s="307">
        <f>C7+E7+G7</f>
        <v>0</v>
      </c>
      <c r="J7" s="314" t="e">
        <f>((I7/(3*$B7)))-1</f>
        <v>#VALUE!</v>
      </c>
      <c r="K7" s="305">
        <v>9906</v>
      </c>
      <c r="L7" s="309"/>
      <c r="M7" s="305">
        <v>19652</v>
      </c>
      <c r="N7" s="309"/>
      <c r="O7" s="305">
        <v>9666</v>
      </c>
      <c r="P7" s="309"/>
      <c r="Q7" s="307">
        <f>K7+M7+O7</f>
        <v>39224</v>
      </c>
      <c r="R7" s="432"/>
    </row>
    <row r="8" spans="1:18" x14ac:dyDescent="0.25">
      <c r="A8" s="114" t="s">
        <v>326</v>
      </c>
      <c r="B8" s="311" t="s">
        <v>334</v>
      </c>
      <c r="C8" s="305"/>
      <c r="D8" s="309" t="e">
        <f t="shared" ref="D8:D10" si="0">((C8/$B8))-1</f>
        <v>#VALUE!</v>
      </c>
      <c r="E8" s="305"/>
      <c r="F8" s="309" t="e">
        <f t="shared" ref="F8:F10" si="1">((E8/$B8))-1</f>
        <v>#VALUE!</v>
      </c>
      <c r="G8" s="305"/>
      <c r="H8" s="309" t="e">
        <f t="shared" ref="H8:H10" si="2">((G8/$B8))-1</f>
        <v>#VALUE!</v>
      </c>
      <c r="I8" s="307">
        <f t="shared" ref="I8:I10" si="3">C8+E8+G8</f>
        <v>0</v>
      </c>
      <c r="J8" s="314" t="e">
        <f t="shared" ref="J8:J10" si="4">((I8/(3*$B8)))-1</f>
        <v>#VALUE!</v>
      </c>
      <c r="K8" s="305">
        <v>622</v>
      </c>
      <c r="L8" s="309"/>
      <c r="M8" s="305">
        <v>1058</v>
      </c>
      <c r="N8" s="309"/>
      <c r="O8" s="305">
        <v>302</v>
      </c>
      <c r="P8" s="309"/>
      <c r="Q8" s="307">
        <f t="shared" ref="Q8:Q9" si="5">K8+M8+O8</f>
        <v>1982</v>
      </c>
      <c r="R8" s="432"/>
    </row>
    <row r="9" spans="1:18" ht="15.75" thickBot="1" x14ac:dyDescent="0.3">
      <c r="A9" s="380" t="s">
        <v>332</v>
      </c>
      <c r="B9" s="311" t="s">
        <v>334</v>
      </c>
      <c r="C9" s="326"/>
      <c r="D9" s="327" t="e">
        <f t="shared" si="0"/>
        <v>#VALUE!</v>
      </c>
      <c r="E9" s="326"/>
      <c r="F9" s="327" t="e">
        <f t="shared" si="1"/>
        <v>#VALUE!</v>
      </c>
      <c r="G9" s="326"/>
      <c r="H9" s="327" t="e">
        <f t="shared" si="2"/>
        <v>#VALUE!</v>
      </c>
      <c r="I9" s="328">
        <f t="shared" si="3"/>
        <v>0</v>
      </c>
      <c r="J9" s="329" t="e">
        <f t="shared" si="4"/>
        <v>#VALUE!</v>
      </c>
      <c r="K9" s="326">
        <v>0</v>
      </c>
      <c r="L9" s="327"/>
      <c r="M9" s="326">
        <v>212</v>
      </c>
      <c r="N9" s="327"/>
      <c r="O9" s="326">
        <v>152</v>
      </c>
      <c r="P9" s="327"/>
      <c r="Q9" s="307">
        <f t="shared" si="5"/>
        <v>364</v>
      </c>
      <c r="R9" s="432"/>
    </row>
    <row r="10" spans="1:18" ht="15.75" thickBot="1" x14ac:dyDescent="0.3">
      <c r="A10" s="449" t="s">
        <v>6</v>
      </c>
      <c r="B10" s="450">
        <f>SUM(B7:B9)</f>
        <v>0</v>
      </c>
      <c r="C10" s="382">
        <f>SUM(C7:C9)</f>
        <v>0</v>
      </c>
      <c r="D10" s="384" t="e">
        <f t="shared" si="0"/>
        <v>#DIV/0!</v>
      </c>
      <c r="E10" s="382">
        <f>SUM(E7:E9)</f>
        <v>0</v>
      </c>
      <c r="F10" s="384" t="e">
        <f t="shared" si="1"/>
        <v>#DIV/0!</v>
      </c>
      <c r="G10" s="382">
        <f>SUM(G7:G9)</f>
        <v>0</v>
      </c>
      <c r="H10" s="384" t="e">
        <f t="shared" si="2"/>
        <v>#DIV/0!</v>
      </c>
      <c r="I10" s="352">
        <f t="shared" si="3"/>
        <v>0</v>
      </c>
      <c r="J10" s="451" t="e">
        <f t="shared" si="4"/>
        <v>#DIV/0!</v>
      </c>
      <c r="K10" s="382">
        <f>SUM(K7:K9)</f>
        <v>10528</v>
      </c>
      <c r="L10" s="384"/>
      <c r="M10" s="382">
        <f>SUM(M7:M9)</f>
        <v>20922</v>
      </c>
      <c r="N10" s="384"/>
      <c r="O10" s="382">
        <f>SUM(O7:O9)</f>
        <v>10120</v>
      </c>
      <c r="P10" s="384"/>
      <c r="Q10" s="307">
        <f>K10+M10+O10</f>
        <v>41570</v>
      </c>
      <c r="R10" s="432"/>
    </row>
    <row r="11" spans="1:18" ht="23.25" customHeight="1" x14ac:dyDescent="0.25">
      <c r="A11" s="583"/>
    </row>
    <row r="12" spans="1:18" ht="15.75" hidden="1" x14ac:dyDescent="0.25">
      <c r="A12" s="603" t="s">
        <v>328</v>
      </c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</row>
    <row r="13" spans="1:18" ht="24.75" hidden="1" thickBot="1" x14ac:dyDescent="0.3">
      <c r="A13" s="404" t="s">
        <v>12</v>
      </c>
      <c r="B13" s="405" t="s">
        <v>13</v>
      </c>
      <c r="C13" s="111" t="str">
        <f>'UBS Vila Dalva'!C6</f>
        <v>JUL</v>
      </c>
      <c r="D13" s="112" t="str">
        <f>'UBS Vila Dalva'!D6</f>
        <v>%</v>
      </c>
      <c r="E13" s="111" t="str">
        <f>'UBS Vila Dalva'!E6</f>
        <v>AGO</v>
      </c>
      <c r="F13" s="112" t="str">
        <f>'UBS Vila Dalva'!F6</f>
        <v>%</v>
      </c>
      <c r="G13" s="111" t="str">
        <f>'UBS Vila Dalva'!G6</f>
        <v>SET</v>
      </c>
      <c r="H13" s="112" t="str">
        <f>'UBS Vila Dalva'!H6</f>
        <v>%</v>
      </c>
      <c r="I13" s="113" t="str">
        <f>'UBS Vila Dalva'!I6</f>
        <v>Trimestre</v>
      </c>
      <c r="J13" s="113" t="str">
        <f>'UBS Vila Dalva'!J6</f>
        <v>%</v>
      </c>
      <c r="K13" s="111" t="str">
        <f>'UBS Vila Dalva'!K6</f>
        <v>OUT</v>
      </c>
      <c r="L13" s="112" t="str">
        <f>'UBS Vila Dalva'!L6</f>
        <v>%</v>
      </c>
      <c r="M13" s="111" t="str">
        <f>'UBS Vila Dalva'!M6</f>
        <v>NOV</v>
      </c>
      <c r="N13" s="112" t="str">
        <f>'UBS Vila Dalva'!N6</f>
        <v>%</v>
      </c>
      <c r="O13" s="111" t="str">
        <f>'UBS Vila Dalva'!O6</f>
        <v>DEZ</v>
      </c>
      <c r="P13" s="112" t="str">
        <f>'UBS Vila Dalva'!P6</f>
        <v>%</v>
      </c>
      <c r="Q13" s="113" t="str">
        <f>'UBS Vila Dalva'!Q6</f>
        <v>Trimestre</v>
      </c>
      <c r="R13" s="113" t="str">
        <f>'UBS Vila Dalva'!R6</f>
        <v>%</v>
      </c>
    </row>
    <row r="14" spans="1:18" ht="15.75" hidden="1" thickTop="1" x14ac:dyDescent="0.25">
      <c r="A14" s="303" t="s">
        <v>270</v>
      </c>
      <c r="B14" s="311">
        <v>7</v>
      </c>
      <c r="C14" s="305"/>
      <c r="D14" s="309">
        <f>((C14/$B14))-1</f>
        <v>-1</v>
      </c>
      <c r="E14" s="305"/>
      <c r="F14" s="309">
        <f>((E14/$B14))-1</f>
        <v>-1</v>
      </c>
      <c r="G14" s="305"/>
      <c r="H14" s="309">
        <f>((G14/$B14))-1</f>
        <v>-1</v>
      </c>
      <c r="I14" s="307">
        <f>C14+E14+G14</f>
        <v>0</v>
      </c>
      <c r="J14" s="314">
        <f>((I14/(3*$B14)))-1</f>
        <v>-1</v>
      </c>
      <c r="K14" s="305"/>
      <c r="L14" s="309">
        <f>((K14/$B14))-1</f>
        <v>-1</v>
      </c>
      <c r="M14" s="305"/>
      <c r="N14" s="309">
        <f>((M14/$B14))-1</f>
        <v>-1</v>
      </c>
      <c r="O14" s="305"/>
      <c r="P14" s="309">
        <f>((O14/$B14))-1</f>
        <v>-1</v>
      </c>
      <c r="Q14" s="307">
        <f>K14+M14+O14</f>
        <v>0</v>
      </c>
      <c r="R14" s="314">
        <f>((Q14/(3*$B14)))-1</f>
        <v>-1</v>
      </c>
    </row>
    <row r="15" spans="1:18" hidden="1" x14ac:dyDescent="0.25">
      <c r="A15" s="303" t="s">
        <v>273</v>
      </c>
      <c r="B15" s="311">
        <v>35</v>
      </c>
      <c r="C15" s="305"/>
      <c r="D15" s="309">
        <f t="shared" ref="D15:D20" si="6">((C15/$B15))-1</f>
        <v>-1</v>
      </c>
      <c r="E15" s="305"/>
      <c r="F15" s="309">
        <f t="shared" ref="F15:F20" si="7">((E15/$B15))-1</f>
        <v>-1</v>
      </c>
      <c r="G15" s="305"/>
      <c r="H15" s="309">
        <f t="shared" ref="H15:H20" si="8">((G15/$B15))-1</f>
        <v>-1</v>
      </c>
      <c r="I15" s="307">
        <f t="shared" ref="I15:I20" si="9">C15+E15+G15</f>
        <v>0</v>
      </c>
      <c r="J15" s="314">
        <f t="shared" ref="J15:J20" si="10">((I15/(3*$B15)))-1</f>
        <v>-1</v>
      </c>
      <c r="K15" s="305"/>
      <c r="L15" s="309">
        <f t="shared" ref="L15:L20" si="11">((K15/$B15))-1</f>
        <v>-1</v>
      </c>
      <c r="M15" s="305"/>
      <c r="N15" s="309">
        <f t="shared" ref="N15:N20" si="12">((M15/$B15))-1</f>
        <v>-1</v>
      </c>
      <c r="O15" s="305"/>
      <c r="P15" s="309">
        <f t="shared" ref="P15:P20" si="13">((O15/$B15))-1</f>
        <v>-1</v>
      </c>
      <c r="Q15" s="307">
        <f t="shared" ref="Q15:Q21" si="14">K15+M15+O15</f>
        <v>0</v>
      </c>
      <c r="R15" s="314">
        <f t="shared" ref="R15:R21" si="15">((Q15/(3*$B15)))-1</f>
        <v>-1</v>
      </c>
    </row>
    <row r="16" spans="1:18" hidden="1" x14ac:dyDescent="0.25">
      <c r="A16" s="303" t="s">
        <v>271</v>
      </c>
      <c r="B16" s="311">
        <v>1</v>
      </c>
      <c r="C16" s="305"/>
      <c r="D16" s="309">
        <f t="shared" si="6"/>
        <v>-1</v>
      </c>
      <c r="E16" s="305"/>
      <c r="F16" s="309">
        <f t="shared" si="7"/>
        <v>-1</v>
      </c>
      <c r="G16" s="305"/>
      <c r="H16" s="309">
        <f t="shared" si="8"/>
        <v>-1</v>
      </c>
      <c r="I16" s="307">
        <f t="shared" si="9"/>
        <v>0</v>
      </c>
      <c r="J16" s="314">
        <f t="shared" si="10"/>
        <v>-1</v>
      </c>
      <c r="K16" s="305"/>
      <c r="L16" s="309">
        <f t="shared" si="11"/>
        <v>-1</v>
      </c>
      <c r="M16" s="305"/>
      <c r="N16" s="309">
        <f t="shared" si="12"/>
        <v>-1</v>
      </c>
      <c r="O16" s="305"/>
      <c r="P16" s="309">
        <f t="shared" si="13"/>
        <v>-1</v>
      </c>
      <c r="Q16" s="307"/>
      <c r="R16" s="314"/>
    </row>
    <row r="17" spans="1:18" hidden="1" x14ac:dyDescent="0.25">
      <c r="A17" s="303" t="s">
        <v>272</v>
      </c>
      <c r="B17" s="311">
        <v>28</v>
      </c>
      <c r="C17" s="305"/>
      <c r="D17" s="309">
        <f t="shared" si="6"/>
        <v>-1</v>
      </c>
      <c r="E17" s="305"/>
      <c r="F17" s="309">
        <f t="shared" si="7"/>
        <v>-1</v>
      </c>
      <c r="G17" s="305"/>
      <c r="H17" s="309">
        <f t="shared" si="8"/>
        <v>-1</v>
      </c>
      <c r="I17" s="307">
        <f t="shared" si="9"/>
        <v>0</v>
      </c>
      <c r="J17" s="314">
        <f t="shared" si="10"/>
        <v>-1</v>
      </c>
      <c r="K17" s="305"/>
      <c r="L17" s="309">
        <f t="shared" si="11"/>
        <v>-1</v>
      </c>
      <c r="M17" s="305"/>
      <c r="N17" s="309">
        <f t="shared" si="12"/>
        <v>-1</v>
      </c>
      <c r="O17" s="305"/>
      <c r="P17" s="309">
        <f t="shared" si="13"/>
        <v>-1</v>
      </c>
      <c r="Q17" s="307">
        <f t="shared" si="14"/>
        <v>0</v>
      </c>
      <c r="R17" s="314">
        <f t="shared" si="15"/>
        <v>-1</v>
      </c>
    </row>
    <row r="18" spans="1:18" hidden="1" x14ac:dyDescent="0.25">
      <c r="A18" s="303" t="s">
        <v>269</v>
      </c>
      <c r="B18" s="311">
        <v>1</v>
      </c>
      <c r="C18" s="305"/>
      <c r="D18" s="309">
        <f t="shared" si="6"/>
        <v>-1</v>
      </c>
      <c r="E18" s="305"/>
      <c r="F18" s="309">
        <f t="shared" si="7"/>
        <v>-1</v>
      </c>
      <c r="G18" s="305"/>
      <c r="H18" s="309">
        <f t="shared" si="8"/>
        <v>-1</v>
      </c>
      <c r="I18" s="307">
        <f t="shared" si="9"/>
        <v>0</v>
      </c>
      <c r="J18" s="314">
        <f t="shared" si="10"/>
        <v>-1</v>
      </c>
      <c r="K18" s="305"/>
      <c r="L18" s="309">
        <f t="shared" si="11"/>
        <v>-1</v>
      </c>
      <c r="M18" s="305"/>
      <c r="N18" s="309">
        <f t="shared" si="12"/>
        <v>-1</v>
      </c>
      <c r="O18" s="305"/>
      <c r="P18" s="309">
        <f t="shared" si="13"/>
        <v>-1</v>
      </c>
      <c r="Q18" s="307"/>
      <c r="R18" s="314"/>
    </row>
    <row r="19" spans="1:18" hidden="1" x14ac:dyDescent="0.25">
      <c r="A19" s="303" t="s">
        <v>274</v>
      </c>
      <c r="B19" s="311">
        <v>14</v>
      </c>
      <c r="C19" s="305"/>
      <c r="D19" s="309">
        <f t="shared" si="6"/>
        <v>-1</v>
      </c>
      <c r="E19" s="305"/>
      <c r="F19" s="309">
        <f t="shared" si="7"/>
        <v>-1</v>
      </c>
      <c r="G19" s="305"/>
      <c r="H19" s="309">
        <f t="shared" si="8"/>
        <v>-1</v>
      </c>
      <c r="I19" s="307">
        <f t="shared" si="9"/>
        <v>0</v>
      </c>
      <c r="J19" s="314">
        <f t="shared" si="10"/>
        <v>-1</v>
      </c>
      <c r="K19" s="305"/>
      <c r="L19" s="309">
        <f t="shared" si="11"/>
        <v>-1</v>
      </c>
      <c r="M19" s="305"/>
      <c r="N19" s="309">
        <f t="shared" si="12"/>
        <v>-1</v>
      </c>
      <c r="O19" s="305"/>
      <c r="P19" s="309">
        <f t="shared" si="13"/>
        <v>-1</v>
      </c>
      <c r="Q19" s="307">
        <f t="shared" si="14"/>
        <v>0</v>
      </c>
      <c r="R19" s="314">
        <f t="shared" si="15"/>
        <v>-1</v>
      </c>
    </row>
    <row r="20" spans="1:18" ht="15.75" hidden="1" thickBot="1" x14ac:dyDescent="0.3">
      <c r="A20" s="369" t="s">
        <v>295</v>
      </c>
      <c r="B20" s="311">
        <v>14</v>
      </c>
      <c r="C20" s="305"/>
      <c r="D20" s="309">
        <f t="shared" si="6"/>
        <v>-1</v>
      </c>
      <c r="E20" s="305"/>
      <c r="F20" s="309">
        <f t="shared" si="7"/>
        <v>-1</v>
      </c>
      <c r="G20" s="305"/>
      <c r="H20" s="309">
        <f t="shared" si="8"/>
        <v>-1</v>
      </c>
      <c r="I20" s="307">
        <f t="shared" si="9"/>
        <v>0</v>
      </c>
      <c r="J20" s="314">
        <f t="shared" si="10"/>
        <v>-1</v>
      </c>
      <c r="K20" s="305"/>
      <c r="L20" s="309">
        <f t="shared" si="11"/>
        <v>-1</v>
      </c>
      <c r="M20" s="305"/>
      <c r="N20" s="309">
        <f t="shared" si="12"/>
        <v>-1</v>
      </c>
      <c r="O20" s="305"/>
      <c r="P20" s="309">
        <f t="shared" si="13"/>
        <v>-1</v>
      </c>
      <c r="Q20" s="307">
        <f t="shared" si="14"/>
        <v>0</v>
      </c>
      <c r="R20" s="314">
        <f t="shared" si="15"/>
        <v>-1</v>
      </c>
    </row>
    <row r="21" spans="1:18" ht="15.75" hidden="1" thickBot="1" x14ac:dyDescent="0.3">
      <c r="A21" s="44" t="s">
        <v>6</v>
      </c>
      <c r="B21" s="46">
        <f>SUM(B14:B20)</f>
        <v>100</v>
      </c>
      <c r="C21" s="48">
        <f>SUM(C14:C20)</f>
        <v>0</v>
      </c>
      <c r="D21" s="52">
        <f t="shared" ref="D21" si="16">((C21/$B21))-1</f>
        <v>-1</v>
      </c>
      <c r="E21" s="48">
        <f>SUM(E14:E20)</f>
        <v>0</v>
      </c>
      <c r="F21" s="52">
        <f t="shared" ref="F21" si="17">((E21/$B21))-1</f>
        <v>-1</v>
      </c>
      <c r="G21" s="48">
        <f>SUM(G14:G20)</f>
        <v>0</v>
      </c>
      <c r="H21" s="52">
        <f t="shared" ref="H21" si="18">((G21/$B21))-1</f>
        <v>-1</v>
      </c>
      <c r="I21" s="47">
        <f t="shared" ref="I21" si="19">C21+E21+G21</f>
        <v>0</v>
      </c>
      <c r="J21" s="292">
        <f t="shared" ref="J21" si="20">((I21/(3*$B21)))-1</f>
        <v>-1</v>
      </c>
      <c r="K21" s="48">
        <f>SUM(K14:K20)</f>
        <v>0</v>
      </c>
      <c r="L21" s="52">
        <f t="shared" ref="L21" si="21">((K21/$B21))-1</f>
        <v>-1</v>
      </c>
      <c r="M21" s="48">
        <f>SUM(M14:M20)</f>
        <v>0</v>
      </c>
      <c r="N21" s="52">
        <f t="shared" ref="N21" si="22">((M21/$B21))-1</f>
        <v>-1</v>
      </c>
      <c r="O21" s="48">
        <f>SUM(O14:O20)</f>
        <v>0</v>
      </c>
      <c r="P21" s="52">
        <f t="shared" ref="P21" si="23">((O21/$B21))-1</f>
        <v>-1</v>
      </c>
      <c r="Q21" s="47">
        <f t="shared" si="14"/>
        <v>0</v>
      </c>
      <c r="R21" s="292">
        <f t="shared" si="15"/>
        <v>-1</v>
      </c>
    </row>
    <row r="22" spans="1:18" hidden="1" x14ac:dyDescent="0.25"/>
    <row r="23" spans="1:18" hidden="1" x14ac:dyDescent="0.25"/>
    <row r="24" spans="1:18" hidden="1" x14ac:dyDescent="0.25"/>
    <row r="25" spans="1:18" hidden="1" x14ac:dyDescent="0.25"/>
    <row r="26" spans="1:18" hidden="1" x14ac:dyDescent="0.25"/>
    <row r="27" spans="1:18" hidden="1" x14ac:dyDescent="0.25"/>
    <row r="28" spans="1:18" hidden="1" x14ac:dyDescent="0.25"/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</sheetData>
  <mergeCells count="4">
    <mergeCell ref="A12:R12"/>
    <mergeCell ref="A2:R2"/>
    <mergeCell ref="A3:R3"/>
    <mergeCell ref="A5:R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&amp;L&amp;12Fonte: Sistema WEBSAASS / SMS&amp;R&amp;12pag.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2:R21"/>
  <sheetViews>
    <sheetView showGridLines="0" view="pageBreakPreview" topLeftCell="A3" zoomScaleNormal="100" zoomScaleSheetLayoutView="100" workbookViewId="0">
      <selection activeCell="A6" sqref="A6"/>
    </sheetView>
  </sheetViews>
  <sheetFormatPr defaultColWidth="8.85546875" defaultRowHeight="15" x14ac:dyDescent="0.25"/>
  <cols>
    <col min="1" max="1" width="41.5703125" customWidth="1"/>
    <col min="2" max="2" width="9" bestFit="1" customWidth="1"/>
    <col min="3" max="3" width="7" customWidth="1"/>
    <col min="4" max="4" width="8.28515625" customWidth="1"/>
    <col min="5" max="5" width="7" customWidth="1"/>
    <col min="6" max="6" width="8.28515625" customWidth="1"/>
    <col min="7" max="7" width="7" customWidth="1"/>
    <col min="8" max="8" width="8.28515625" customWidth="1"/>
    <col min="9" max="9" width="10.28515625" customWidth="1"/>
    <col min="10" max="10" width="8.7109375" customWidth="1"/>
    <col min="11" max="11" width="7" customWidth="1"/>
    <col min="12" max="12" width="7.140625" customWidth="1"/>
    <col min="13" max="13" width="7" customWidth="1"/>
    <col min="14" max="14" width="8" customWidth="1"/>
    <col min="15" max="15" width="7" customWidth="1"/>
    <col min="16" max="16" width="7.85546875" customWidth="1"/>
    <col min="17" max="17" width="9.85546875" customWidth="1"/>
    <col min="18" max="18" width="8.42578125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5.75" x14ac:dyDescent="0.25">
      <c r="A5" s="603" t="s">
        <v>223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</row>
    <row r="6" spans="1:18" ht="24.75" thickBot="1" x14ac:dyDescent="0.3">
      <c r="A6" s="59" t="s">
        <v>12</v>
      </c>
      <c r="B6" s="60" t="s">
        <v>13</v>
      </c>
      <c r="C6" s="111" t="str">
        <f>'UBS Vila Dalva'!C6</f>
        <v>JUL</v>
      </c>
      <c r="D6" s="112" t="str">
        <f>'UBS Vila Dalva'!D6</f>
        <v>%</v>
      </c>
      <c r="E6" s="111" t="str">
        <f>'UBS Vila Dalva'!E6</f>
        <v>AGO</v>
      </c>
      <c r="F6" s="112" t="str">
        <f>'UBS Vila Dalva'!F6</f>
        <v>%</v>
      </c>
      <c r="G6" s="111" t="str">
        <f>'UBS Vila Dalva'!G6</f>
        <v>SET</v>
      </c>
      <c r="H6" s="112" t="str">
        <f>'UBS Vila Dalva'!H6</f>
        <v>%</v>
      </c>
      <c r="I6" s="113" t="str">
        <f>'UBS Vila Dalva'!I6</f>
        <v>Trimestre</v>
      </c>
      <c r="J6" s="389" t="str">
        <f>'UBS Vila Dalva'!J6</f>
        <v>%</v>
      </c>
      <c r="K6" s="111" t="str">
        <f>'UBS Vila Dalva'!K6</f>
        <v>OUT</v>
      </c>
      <c r="L6" s="112" t="str">
        <f>'UBS Vila Dalva'!L6</f>
        <v>%</v>
      </c>
      <c r="M6" s="111" t="str">
        <f>'UBS Vila Dalva'!M6</f>
        <v>NOV</v>
      </c>
      <c r="N6" s="112" t="str">
        <f>'UBS Vila Dalva'!N6</f>
        <v>%</v>
      </c>
      <c r="O6" s="111" t="str">
        <f>'UBS Vila Dalva'!O6</f>
        <v>DEZ</v>
      </c>
      <c r="P6" s="112" t="str">
        <f>'UBS Vila Dalva'!P6</f>
        <v>%</v>
      </c>
      <c r="Q6" s="113" t="str">
        <f>'UBS Vila Dalva'!Q6</f>
        <v>Trimestre</v>
      </c>
      <c r="R6" s="113" t="str">
        <f>'UBS Vila Dalva'!R6</f>
        <v>%</v>
      </c>
    </row>
    <row r="7" spans="1:18" ht="15.75" thickTop="1" x14ac:dyDescent="0.25">
      <c r="A7" s="61" t="s">
        <v>224</v>
      </c>
      <c r="B7" s="615">
        <v>100</v>
      </c>
      <c r="C7" s="611">
        <v>115</v>
      </c>
      <c r="D7" s="617">
        <f>((C7/$B7))-1</f>
        <v>0.14999999999999991</v>
      </c>
      <c r="E7" s="611">
        <v>115</v>
      </c>
      <c r="F7" s="617">
        <f>((E7/$B7))-1</f>
        <v>0.14999999999999991</v>
      </c>
      <c r="G7" s="611">
        <v>114</v>
      </c>
      <c r="H7" s="617">
        <f>((G7/$B7))-1</f>
        <v>0.1399999999999999</v>
      </c>
      <c r="I7" s="623">
        <f t="shared" ref="I7:I12" si="0">C7+E7+G7</f>
        <v>344</v>
      </c>
      <c r="J7" s="625">
        <f>((I7/(3*$B7)))-1</f>
        <v>0.14666666666666672</v>
      </c>
      <c r="K7" s="613">
        <v>108</v>
      </c>
      <c r="L7" s="617">
        <f>((K7/$B7))-1</f>
        <v>8.0000000000000071E-2</v>
      </c>
      <c r="M7" s="611">
        <v>109</v>
      </c>
      <c r="N7" s="617">
        <f>((M7/$B7))-1</f>
        <v>9.000000000000008E-2</v>
      </c>
      <c r="O7" s="611">
        <v>102</v>
      </c>
      <c r="P7" s="617">
        <f>((O7/$B7))-1</f>
        <v>2.0000000000000018E-2</v>
      </c>
      <c r="Q7" s="619">
        <f t="shared" ref="Q7:Q12" si="1">K7+M7+O7</f>
        <v>319</v>
      </c>
      <c r="R7" s="621">
        <f>((Q7/(3*$B7)))-1</f>
        <v>6.3333333333333242E-2</v>
      </c>
    </row>
    <row r="8" spans="1:18" x14ac:dyDescent="0.25">
      <c r="A8" s="61" t="s">
        <v>225</v>
      </c>
      <c r="B8" s="616"/>
      <c r="C8" s="612"/>
      <c r="D8" s="618"/>
      <c r="E8" s="612"/>
      <c r="F8" s="618"/>
      <c r="G8" s="612"/>
      <c r="H8" s="618"/>
      <c r="I8" s="624"/>
      <c r="J8" s="625"/>
      <c r="K8" s="614"/>
      <c r="L8" s="618"/>
      <c r="M8" s="612"/>
      <c r="N8" s="618"/>
      <c r="O8" s="612"/>
      <c r="P8" s="618"/>
      <c r="Q8" s="620"/>
      <c r="R8" s="622"/>
    </row>
    <row r="9" spans="1:18" ht="16.5" customHeight="1" x14ac:dyDescent="0.25">
      <c r="A9" s="385" t="s">
        <v>232</v>
      </c>
      <c r="B9" s="616"/>
      <c r="C9" s="612"/>
      <c r="D9" s="618"/>
      <c r="E9" s="612"/>
      <c r="F9" s="618"/>
      <c r="G9" s="612"/>
      <c r="H9" s="618"/>
      <c r="I9" s="624"/>
      <c r="J9" s="625"/>
      <c r="K9" s="614"/>
      <c r="L9" s="618"/>
      <c r="M9" s="612"/>
      <c r="N9" s="618"/>
      <c r="O9" s="612"/>
      <c r="P9" s="618"/>
      <c r="Q9" s="620"/>
      <c r="R9" s="622"/>
    </row>
    <row r="10" spans="1:18" x14ac:dyDescent="0.25">
      <c r="A10" s="62" t="s">
        <v>226</v>
      </c>
      <c r="B10" s="616"/>
      <c r="C10" s="612"/>
      <c r="D10" s="618"/>
      <c r="E10" s="612"/>
      <c r="F10" s="618"/>
      <c r="G10" s="612"/>
      <c r="H10" s="618"/>
      <c r="I10" s="624"/>
      <c r="J10" s="625"/>
      <c r="K10" s="614"/>
      <c r="L10" s="618"/>
      <c r="M10" s="612"/>
      <c r="N10" s="618"/>
      <c r="O10" s="612"/>
      <c r="P10" s="618"/>
      <c r="Q10" s="620"/>
      <c r="R10" s="622"/>
    </row>
    <row r="11" spans="1:18" ht="15.75" thickBot="1" x14ac:dyDescent="0.3">
      <c r="A11" s="390" t="s">
        <v>227</v>
      </c>
      <c r="B11" s="616"/>
      <c r="C11" s="612"/>
      <c r="D11" s="618"/>
      <c r="E11" s="612"/>
      <c r="F11" s="618"/>
      <c r="G11" s="612"/>
      <c r="H11" s="618"/>
      <c r="I11" s="624"/>
      <c r="J11" s="626"/>
      <c r="K11" s="614"/>
      <c r="L11" s="618"/>
      <c r="M11" s="612"/>
      <c r="N11" s="618"/>
      <c r="O11" s="612"/>
      <c r="P11" s="618"/>
      <c r="Q11" s="620"/>
      <c r="R11" s="622"/>
    </row>
    <row r="12" spans="1:18" ht="15.75" thickBot="1" x14ac:dyDescent="0.3">
      <c r="A12" s="44" t="s">
        <v>336</v>
      </c>
      <c r="B12" s="46">
        <f>SUM(B7:B11)</f>
        <v>100</v>
      </c>
      <c r="C12" s="48">
        <f>SUM(C7:C11)</f>
        <v>115</v>
      </c>
      <c r="D12" s="52">
        <f t="shared" ref="D12" si="2">((C12/$B12))-1</f>
        <v>0.14999999999999991</v>
      </c>
      <c r="E12" s="48">
        <f>SUM(E7:E11)</f>
        <v>115</v>
      </c>
      <c r="F12" s="52">
        <f>((E12/$B12))-1</f>
        <v>0.14999999999999991</v>
      </c>
      <c r="G12" s="48">
        <f>SUM(G7:G11)</f>
        <v>114</v>
      </c>
      <c r="H12" s="52">
        <f t="shared" ref="H12" si="3">((G12/$B12))-1</f>
        <v>0.1399999999999999</v>
      </c>
      <c r="I12" s="47">
        <f t="shared" si="0"/>
        <v>344</v>
      </c>
      <c r="J12" s="53">
        <f t="shared" ref="J12" si="4">((I12/(3*$B12)))-1</f>
        <v>0.14666666666666672</v>
      </c>
      <c r="K12" s="48">
        <f>SUM(K7:K11)</f>
        <v>108</v>
      </c>
      <c r="L12" s="52">
        <f>((K12/$B12))-1</f>
        <v>8.0000000000000071E-2</v>
      </c>
      <c r="M12" s="48">
        <f>SUM(M7:M11)</f>
        <v>109</v>
      </c>
      <c r="N12" s="52">
        <f>((M12/$B12))-1</f>
        <v>9.000000000000008E-2</v>
      </c>
      <c r="O12" s="48">
        <f>SUM(O7:O11)</f>
        <v>102</v>
      </c>
      <c r="P12" s="52">
        <f t="shared" ref="P12" si="5">((O12/$B12))-1</f>
        <v>2.0000000000000018E-2</v>
      </c>
      <c r="Q12" s="47">
        <f t="shared" si="1"/>
        <v>319</v>
      </c>
      <c r="R12" s="377">
        <f t="shared" ref="R12" si="6">((Q12/(3*$B12)))-1</f>
        <v>6.3333333333333242E-2</v>
      </c>
    </row>
    <row r="14" spans="1:18" ht="15.75" hidden="1" x14ac:dyDescent="0.25">
      <c r="A14" s="603" t="s">
        <v>324</v>
      </c>
      <c r="B14" s="604"/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</row>
    <row r="15" spans="1:18" ht="24.75" hidden="1" thickBot="1" x14ac:dyDescent="0.3">
      <c r="A15" s="59" t="s">
        <v>12</v>
      </c>
      <c r="B15" s="60" t="s">
        <v>13</v>
      </c>
      <c r="C15" s="111" t="str">
        <f t="shared" ref="C15:R15" si="7">C6</f>
        <v>JUL</v>
      </c>
      <c r="D15" s="112" t="str">
        <f t="shared" si="7"/>
        <v>%</v>
      </c>
      <c r="E15" s="111" t="str">
        <f t="shared" si="7"/>
        <v>AGO</v>
      </c>
      <c r="F15" s="112" t="str">
        <f t="shared" si="7"/>
        <v>%</v>
      </c>
      <c r="G15" s="111" t="str">
        <f t="shared" si="7"/>
        <v>SET</v>
      </c>
      <c r="H15" s="112" t="str">
        <f t="shared" si="7"/>
        <v>%</v>
      </c>
      <c r="I15" s="346" t="str">
        <f t="shared" si="7"/>
        <v>Trimestre</v>
      </c>
      <c r="J15" s="346" t="str">
        <f t="shared" si="7"/>
        <v>%</v>
      </c>
      <c r="K15" s="111" t="str">
        <f t="shared" si="7"/>
        <v>OUT</v>
      </c>
      <c r="L15" s="112" t="str">
        <f t="shared" si="7"/>
        <v>%</v>
      </c>
      <c r="M15" s="111" t="str">
        <f t="shared" si="7"/>
        <v>NOV</v>
      </c>
      <c r="N15" s="112" t="str">
        <f t="shared" si="7"/>
        <v>%</v>
      </c>
      <c r="O15" s="111" t="str">
        <f t="shared" si="7"/>
        <v>DEZ</v>
      </c>
      <c r="P15" s="112" t="str">
        <f t="shared" si="7"/>
        <v>%</v>
      </c>
      <c r="Q15" s="113" t="str">
        <f t="shared" si="7"/>
        <v>Trimestre</v>
      </c>
      <c r="R15" s="113" t="str">
        <f t="shared" si="7"/>
        <v>%</v>
      </c>
    </row>
    <row r="16" spans="1:18" ht="15.75" hidden="1" thickTop="1" x14ac:dyDescent="0.25">
      <c r="A16" s="342" t="s">
        <v>146</v>
      </c>
      <c r="B16" s="311">
        <v>1</v>
      </c>
      <c r="C16" s="344"/>
      <c r="D16" s="386">
        <f>((C16/$B16))-1</f>
        <v>-1</v>
      </c>
      <c r="E16" s="194"/>
      <c r="F16" s="386">
        <f>((E16/$B16))-1</f>
        <v>-1</v>
      </c>
      <c r="G16" s="194"/>
      <c r="H16" s="386">
        <f>((G16/$B16))-1</f>
        <v>-1</v>
      </c>
      <c r="I16" s="392">
        <f>C16+E16+G16</f>
        <v>0</v>
      </c>
      <c r="J16" s="393">
        <f>((I16/(3*$B16)))-1</f>
        <v>-1</v>
      </c>
      <c r="K16" s="344"/>
      <c r="L16" s="386">
        <f>((K16/$B16))-1</f>
        <v>-1</v>
      </c>
      <c r="M16" s="194"/>
      <c r="N16" s="386">
        <f>((M16/$B16))-1</f>
        <v>-1</v>
      </c>
      <c r="O16" s="194"/>
      <c r="P16" s="386">
        <f>((O16/$B16))-1</f>
        <v>-1</v>
      </c>
      <c r="Q16" s="392">
        <f>K16+M16+O16</f>
        <v>0</v>
      </c>
      <c r="R16" s="393">
        <f>((Q16/(3*$B16)))-1</f>
        <v>-1</v>
      </c>
    </row>
    <row r="17" spans="1:18" hidden="1" x14ac:dyDescent="0.25">
      <c r="A17" s="342" t="s">
        <v>228</v>
      </c>
      <c r="B17" s="311">
        <v>1</v>
      </c>
      <c r="C17" s="345"/>
      <c r="D17" s="387">
        <f t="shared" ref="D17:F20" si="8">((C17/$B17))-1</f>
        <v>-1</v>
      </c>
      <c r="E17" s="285"/>
      <c r="F17" s="387">
        <f t="shared" si="8"/>
        <v>-1</v>
      </c>
      <c r="G17" s="285"/>
      <c r="H17" s="387">
        <f t="shared" ref="H17" si="9">((G17/$B17))-1</f>
        <v>-1</v>
      </c>
      <c r="I17" s="307">
        <f>C17+E17+G17</f>
        <v>0</v>
      </c>
      <c r="J17" s="391">
        <f>((I17/(3*$B17)))-1</f>
        <v>-1</v>
      </c>
      <c r="K17" s="345"/>
      <c r="L17" s="387">
        <f t="shared" ref="L17" si="10">((K17/$B17))-1</f>
        <v>-1</v>
      </c>
      <c r="M17" s="285"/>
      <c r="N17" s="387">
        <f t="shared" ref="N17" si="11">((M17/$B17))-1</f>
        <v>-1</v>
      </c>
      <c r="O17" s="285"/>
      <c r="P17" s="387">
        <f t="shared" ref="P17" si="12">((O17/$B17))-1</f>
        <v>-1</v>
      </c>
      <c r="Q17" s="307">
        <f>K17+M17+O17</f>
        <v>0</v>
      </c>
      <c r="R17" s="391">
        <f>((Q17/(3*$B17)))-1</f>
        <v>-1</v>
      </c>
    </row>
    <row r="18" spans="1:18" hidden="1" x14ac:dyDescent="0.25">
      <c r="A18" s="342" t="s">
        <v>229</v>
      </c>
      <c r="B18" s="311">
        <v>2</v>
      </c>
      <c r="C18" s="345"/>
      <c r="D18" s="387">
        <f t="shared" si="8"/>
        <v>-1</v>
      </c>
      <c r="E18" s="285"/>
      <c r="F18" s="387">
        <f t="shared" si="8"/>
        <v>-1</v>
      </c>
      <c r="G18" s="285"/>
      <c r="H18" s="387">
        <f t="shared" ref="H18" si="13">((G18/$B18))-1</f>
        <v>-1</v>
      </c>
      <c r="I18" s="307">
        <f>C18+E18+G18</f>
        <v>0</v>
      </c>
      <c r="J18" s="391">
        <f>((I18/(3*$B18)))-1</f>
        <v>-1</v>
      </c>
      <c r="K18" s="345"/>
      <c r="L18" s="387">
        <f t="shared" ref="L18" si="14">((K18/$B18))-1</f>
        <v>-1</v>
      </c>
      <c r="M18" s="285"/>
      <c r="N18" s="387">
        <f t="shared" ref="N18" si="15">((M18/$B18))-1</f>
        <v>-1</v>
      </c>
      <c r="O18" s="285"/>
      <c r="P18" s="387">
        <f t="shared" ref="P18" si="16">((O18/$B18))-1</f>
        <v>-1</v>
      </c>
      <c r="Q18" s="307">
        <f>K18+M18+O18</f>
        <v>0</v>
      </c>
      <c r="R18" s="391">
        <f>((Q18/(3*$B18)))-1</f>
        <v>-1</v>
      </c>
    </row>
    <row r="19" spans="1:18" hidden="1" x14ac:dyDescent="0.25">
      <c r="A19" s="325" t="s">
        <v>230</v>
      </c>
      <c r="B19" s="311">
        <v>10</v>
      </c>
      <c r="C19" s="345"/>
      <c r="D19" s="387">
        <f t="shared" si="8"/>
        <v>-1</v>
      </c>
      <c r="E19" s="285"/>
      <c r="F19" s="387">
        <f t="shared" si="8"/>
        <v>-1</v>
      </c>
      <c r="G19" s="285"/>
      <c r="H19" s="387">
        <f t="shared" ref="H19" si="17">((G19/$B19))-1</f>
        <v>-1</v>
      </c>
      <c r="I19" s="307">
        <f>C19+E19+G19</f>
        <v>0</v>
      </c>
      <c r="J19" s="391">
        <f>((I19/(3*$B19)))-1</f>
        <v>-1</v>
      </c>
      <c r="K19" s="345"/>
      <c r="L19" s="387">
        <f t="shared" ref="L19" si="18">((K19/$B19))-1</f>
        <v>-1</v>
      </c>
      <c r="M19" s="285"/>
      <c r="N19" s="387">
        <f t="shared" ref="N19" si="19">((M19/$B19))-1</f>
        <v>-1</v>
      </c>
      <c r="O19" s="285"/>
      <c r="P19" s="387">
        <f t="shared" ref="P19" si="20">((O19/$B19))-1</f>
        <v>-1</v>
      </c>
      <c r="Q19" s="307">
        <f>K19+M19+O19</f>
        <v>0</v>
      </c>
      <c r="R19" s="391">
        <f>((Q19/(3*$B19)))-1</f>
        <v>-1</v>
      </c>
    </row>
    <row r="20" spans="1:18" ht="15.75" hidden="1" thickBot="1" x14ac:dyDescent="0.3">
      <c r="A20" s="343" t="s">
        <v>231</v>
      </c>
      <c r="B20" s="311">
        <v>1</v>
      </c>
      <c r="C20" s="345"/>
      <c r="D20" s="388">
        <f t="shared" si="8"/>
        <v>-1</v>
      </c>
      <c r="E20" s="285"/>
      <c r="F20" s="388">
        <f t="shared" si="8"/>
        <v>-1</v>
      </c>
      <c r="G20" s="285"/>
      <c r="H20" s="388">
        <f t="shared" ref="H20" si="21">((G20/$B20))-1</f>
        <v>-1</v>
      </c>
      <c r="I20" s="394">
        <f>C20+E20+G20</f>
        <v>0</v>
      </c>
      <c r="J20" s="395">
        <f>((I20/(3*$B20)))-1</f>
        <v>-1</v>
      </c>
      <c r="K20" s="345"/>
      <c r="L20" s="388">
        <f t="shared" ref="L20" si="22">((K20/$B20))-1</f>
        <v>-1</v>
      </c>
      <c r="M20" s="285"/>
      <c r="N20" s="388">
        <f t="shared" ref="N20" si="23">((M20/$B20))-1</f>
        <v>-1</v>
      </c>
      <c r="O20" s="285"/>
      <c r="P20" s="388">
        <f t="shared" ref="P20" si="24">((O20/$B20))-1</f>
        <v>-1</v>
      </c>
      <c r="Q20" s="394">
        <f>K20+M20+O20</f>
        <v>0</v>
      </c>
      <c r="R20" s="395">
        <f>((Q20/(3*$B20)))-1</f>
        <v>-1</v>
      </c>
    </row>
    <row r="21" spans="1:18" ht="15.75" hidden="1" thickBot="1" x14ac:dyDescent="0.3">
      <c r="A21" s="44" t="s">
        <v>6</v>
      </c>
      <c r="B21" s="51">
        <f>SUM(B16:B20)</f>
        <v>15</v>
      </c>
      <c r="C21" s="48">
        <f>SUM(C16:C20)</f>
        <v>0</v>
      </c>
      <c r="D21" s="52">
        <f t="shared" ref="D21" si="25">((C21/$B21))-1</f>
        <v>-1</v>
      </c>
      <c r="E21" s="48">
        <f>SUM(E16:E20)</f>
        <v>0</v>
      </c>
      <c r="F21" s="52">
        <f>((E21/$B21))-1</f>
        <v>-1</v>
      </c>
      <c r="G21" s="48">
        <f>SUM(G16:G20)</f>
        <v>0</v>
      </c>
      <c r="H21" s="52">
        <f t="shared" ref="H21" si="26">((G21/$B21))-1</f>
        <v>-1</v>
      </c>
      <c r="I21" s="298">
        <f t="shared" ref="I21" si="27">C21+E21+G21</f>
        <v>0</v>
      </c>
      <c r="J21" s="292">
        <f t="shared" ref="J21" si="28">((I21/(3*$B21)))-1</f>
        <v>-1</v>
      </c>
      <c r="K21" s="48">
        <f>SUM(K16:K20)</f>
        <v>0</v>
      </c>
      <c r="L21" s="52">
        <f>((K21/$B21))-1</f>
        <v>-1</v>
      </c>
      <c r="M21" s="48">
        <f>SUM(M16:M20)</f>
        <v>0</v>
      </c>
      <c r="N21" s="52">
        <f>((M21/$B21))-1</f>
        <v>-1</v>
      </c>
      <c r="O21" s="48">
        <f>SUM(O16:O20)</f>
        <v>0</v>
      </c>
      <c r="P21" s="52">
        <f t="shared" ref="P21" si="29">((O21/$B21))-1</f>
        <v>-1</v>
      </c>
      <c r="Q21" s="47">
        <f t="shared" ref="Q21" si="30">K21+M21+O21</f>
        <v>0</v>
      </c>
      <c r="R21" s="292">
        <f t="shared" ref="R21" si="31">((Q21/(3*$B21)))-1</f>
        <v>-1</v>
      </c>
    </row>
  </sheetData>
  <mergeCells count="21">
    <mergeCell ref="A3:R3"/>
    <mergeCell ref="A2:R2"/>
    <mergeCell ref="B7:B11"/>
    <mergeCell ref="D7:D11"/>
    <mergeCell ref="F7:F11"/>
    <mergeCell ref="H7:H11"/>
    <mergeCell ref="L7:L11"/>
    <mergeCell ref="N7:N11"/>
    <mergeCell ref="P7:P11"/>
    <mergeCell ref="Q7:Q11"/>
    <mergeCell ref="R7:R11"/>
    <mergeCell ref="O7:O11"/>
    <mergeCell ref="I7:I11"/>
    <mergeCell ref="J7:J11"/>
    <mergeCell ref="A5:R5"/>
    <mergeCell ref="A14:R14"/>
    <mergeCell ref="C7:C11"/>
    <mergeCell ref="E7:E11"/>
    <mergeCell ref="G7:G11"/>
    <mergeCell ref="K7:K11"/>
    <mergeCell ref="M7:M1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&amp;L&amp;12Fonte: Sistema WEBSAASS / SMS&amp;R&amp;12pag.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2:R44"/>
  <sheetViews>
    <sheetView showGridLines="0" view="pageBreakPreview" zoomScale="90" zoomScaleNormal="100" zoomScaleSheetLayoutView="90" workbookViewId="0">
      <selection activeCell="A5" sqref="A5:R5"/>
    </sheetView>
  </sheetViews>
  <sheetFormatPr defaultRowHeight="15" x14ac:dyDescent="0.25"/>
  <cols>
    <col min="1" max="1" width="29.28515625" customWidth="1"/>
    <col min="2" max="3" width="9.28515625" bestFit="1" customWidth="1"/>
    <col min="4" max="4" width="11.140625" bestFit="1" customWidth="1"/>
    <col min="5" max="5" width="9.28515625" bestFit="1" customWidth="1"/>
    <col min="6" max="6" width="11.140625" bestFit="1" customWidth="1"/>
    <col min="7" max="7" width="9.28515625" bestFit="1" customWidth="1"/>
    <col min="8" max="8" width="11.140625" bestFit="1" customWidth="1"/>
    <col min="9" max="9" width="9.28515625" bestFit="1" customWidth="1"/>
    <col min="10" max="10" width="11.140625" bestFit="1" customWidth="1"/>
    <col min="11" max="11" width="9.28515625" bestFit="1" customWidth="1"/>
    <col min="12" max="12" width="11.140625" bestFit="1" customWidth="1"/>
    <col min="13" max="13" width="9.28515625" bestFit="1" customWidth="1"/>
    <col min="14" max="14" width="11.140625" bestFit="1" customWidth="1"/>
    <col min="15" max="15" width="9.28515625" bestFit="1" customWidth="1"/>
    <col min="16" max="16" width="11.140625" bestFit="1" customWidth="1"/>
    <col min="17" max="17" width="9.28515625" bestFit="1" customWidth="1"/>
    <col min="18" max="18" width="11.140625" bestFit="1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5.75" x14ac:dyDescent="0.25">
      <c r="A5" s="603" t="s">
        <v>237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</row>
    <row r="6" spans="1:18" ht="24" x14ac:dyDescent="0.25">
      <c r="A6" s="439" t="s">
        <v>12</v>
      </c>
      <c r="B6" s="458" t="s">
        <v>13</v>
      </c>
      <c r="C6" s="439" t="str">
        <f>'UBS Vila Dalva'!C6</f>
        <v>JUL</v>
      </c>
      <c r="D6" s="441" t="str">
        <f>'UBS Vila Dalva'!D6</f>
        <v>%</v>
      </c>
      <c r="E6" s="439" t="str">
        <f>'UBS Vila Dalva'!E6</f>
        <v>AGO</v>
      </c>
      <c r="F6" s="441" t="str">
        <f>'UBS Vila Dalva'!F6</f>
        <v>%</v>
      </c>
      <c r="G6" s="439" t="str">
        <f>'UBS Vila Dalva'!G6</f>
        <v>SET</v>
      </c>
      <c r="H6" s="441" t="str">
        <f>'UBS Vila Dalva'!H6</f>
        <v>%</v>
      </c>
      <c r="I6" s="442" t="str">
        <f>'UBS Vila Dalva'!I6</f>
        <v>Trimestre</v>
      </c>
      <c r="J6" s="442" t="str">
        <f>'UBS Vila Dalva'!J6</f>
        <v>%</v>
      </c>
      <c r="K6" s="439" t="str">
        <f>'UBS Vila Dalva'!K6</f>
        <v>OUT</v>
      </c>
      <c r="L6" s="441" t="str">
        <f>'UBS Vila Dalva'!L6</f>
        <v>%</v>
      </c>
      <c r="M6" s="439" t="str">
        <f>'UBS Vila Dalva'!M6</f>
        <v>NOV</v>
      </c>
      <c r="N6" s="441" t="str">
        <f>'UBS Vila Dalva'!N6</f>
        <v>%</v>
      </c>
      <c r="O6" s="439" t="str">
        <f>'UBS Vila Dalva'!O6</f>
        <v>DEZ</v>
      </c>
      <c r="P6" s="441" t="str">
        <f>'UBS Vila Dalva'!P6</f>
        <v>%</v>
      </c>
      <c r="Q6" s="442" t="str">
        <f>'UBS Vila Dalva'!Q6</f>
        <v>Trimestre</v>
      </c>
      <c r="R6" s="442" t="str">
        <f>'UBS Vila Dalva'!R6</f>
        <v>%</v>
      </c>
    </row>
    <row r="7" spans="1:18" x14ac:dyDescent="0.25">
      <c r="A7" s="303" t="s">
        <v>238</v>
      </c>
      <c r="B7" s="332">
        <v>400</v>
      </c>
      <c r="C7" s="305">
        <v>0</v>
      </c>
      <c r="D7" s="309">
        <f>((C7/$B7))-1</f>
        <v>-1</v>
      </c>
      <c r="E7" s="305">
        <v>0</v>
      </c>
      <c r="F7" s="309">
        <f>((E7/$B7))-1</f>
        <v>-1</v>
      </c>
      <c r="G7" s="305">
        <v>0</v>
      </c>
      <c r="H7" s="309">
        <f>((G7/$B7))-1</f>
        <v>-1</v>
      </c>
      <c r="I7" s="307">
        <f>C7+E7+G7</f>
        <v>0</v>
      </c>
      <c r="J7" s="314">
        <f>((I7/(3*$B7)))-1</f>
        <v>-1</v>
      </c>
      <c r="K7" s="305">
        <v>0</v>
      </c>
      <c r="L7" s="309">
        <f>((K7/$B7))-1</f>
        <v>-1</v>
      </c>
      <c r="M7" s="305">
        <v>0</v>
      </c>
      <c r="N7" s="309">
        <f>((M7/$B7))-1</f>
        <v>-1</v>
      </c>
      <c r="O7" s="305">
        <v>0</v>
      </c>
      <c r="P7" s="309">
        <f>((O7/$B7))-1</f>
        <v>-1</v>
      </c>
      <c r="Q7" s="307">
        <f>K7+M7+O7</f>
        <v>0</v>
      </c>
      <c r="R7" s="314">
        <f>((Q7/(3*$B7)))-1</f>
        <v>-1</v>
      </c>
    </row>
    <row r="8" spans="1:18" x14ac:dyDescent="0.25">
      <c r="A8" s="303" t="s">
        <v>239</v>
      </c>
      <c r="B8" s="332">
        <v>400</v>
      </c>
      <c r="C8" s="305">
        <v>0</v>
      </c>
      <c r="D8" s="309">
        <f t="shared" ref="D8:D14" si="0">((C8/$B8))-1</f>
        <v>-1</v>
      </c>
      <c r="E8" s="305">
        <v>0</v>
      </c>
      <c r="F8" s="309">
        <f t="shared" ref="F8:F14" si="1">((E8/$B8))-1</f>
        <v>-1</v>
      </c>
      <c r="G8" s="305">
        <v>0</v>
      </c>
      <c r="H8" s="309">
        <f t="shared" ref="H8:H14" si="2">((G8/$B8))-1</f>
        <v>-1</v>
      </c>
      <c r="I8" s="307">
        <f t="shared" ref="I8:I14" si="3">C8+E8+G8</f>
        <v>0</v>
      </c>
      <c r="J8" s="314">
        <f t="shared" ref="J8:J14" si="4">((I8/(3*$B8)))-1</f>
        <v>-1</v>
      </c>
      <c r="K8" s="305">
        <v>0</v>
      </c>
      <c r="L8" s="309">
        <f t="shared" ref="L8:L14" si="5">((K8/$B8))-1</f>
        <v>-1</v>
      </c>
      <c r="M8" s="305">
        <v>0</v>
      </c>
      <c r="N8" s="309">
        <f t="shared" ref="N8:N14" si="6">((M8/$B8))-1</f>
        <v>-1</v>
      </c>
      <c r="O8" s="305">
        <v>0</v>
      </c>
      <c r="P8" s="309">
        <f t="shared" ref="P8:P14" si="7">((O8/$B8))-1</f>
        <v>-1</v>
      </c>
      <c r="Q8" s="307">
        <f t="shared" ref="Q8:Q14" si="8">K8+M8+O8</f>
        <v>0</v>
      </c>
      <c r="R8" s="314">
        <f t="shared" ref="R8:R14" si="9">((Q8/(3*$B8)))-1</f>
        <v>-1</v>
      </c>
    </row>
    <row r="9" spans="1:18" x14ac:dyDescent="0.25">
      <c r="A9" s="438" t="s">
        <v>329</v>
      </c>
      <c r="B9" s="332">
        <v>300</v>
      </c>
      <c r="C9" s="305">
        <v>0</v>
      </c>
      <c r="D9" s="309">
        <f t="shared" si="0"/>
        <v>-1</v>
      </c>
      <c r="E9" s="305">
        <v>0</v>
      </c>
      <c r="F9" s="309">
        <f t="shared" si="1"/>
        <v>-1</v>
      </c>
      <c r="G9" s="305">
        <v>0</v>
      </c>
      <c r="H9" s="309">
        <f t="shared" si="2"/>
        <v>-1</v>
      </c>
      <c r="I9" s="307">
        <f t="shared" si="3"/>
        <v>0</v>
      </c>
      <c r="J9" s="314">
        <f t="shared" si="4"/>
        <v>-1</v>
      </c>
      <c r="K9" s="305">
        <v>0</v>
      </c>
      <c r="L9" s="309">
        <f t="shared" si="5"/>
        <v>-1</v>
      </c>
      <c r="M9" s="305">
        <v>0</v>
      </c>
      <c r="N9" s="309">
        <f t="shared" si="6"/>
        <v>-1</v>
      </c>
      <c r="O9" s="305">
        <v>0</v>
      </c>
      <c r="P9" s="309">
        <f t="shared" si="7"/>
        <v>-1</v>
      </c>
      <c r="Q9" s="307">
        <f t="shared" si="8"/>
        <v>0</v>
      </c>
      <c r="R9" s="314">
        <f t="shared" si="9"/>
        <v>-1</v>
      </c>
    </row>
    <row r="10" spans="1:18" x14ac:dyDescent="0.25">
      <c r="A10" s="303" t="s">
        <v>240</v>
      </c>
      <c r="B10" s="332">
        <v>300</v>
      </c>
      <c r="C10" s="305">
        <v>0</v>
      </c>
      <c r="D10" s="309">
        <f t="shared" si="0"/>
        <v>-1</v>
      </c>
      <c r="E10" s="305">
        <v>0</v>
      </c>
      <c r="F10" s="309">
        <f t="shared" si="1"/>
        <v>-1</v>
      </c>
      <c r="G10" s="305">
        <v>0</v>
      </c>
      <c r="H10" s="309">
        <f t="shared" si="2"/>
        <v>-1</v>
      </c>
      <c r="I10" s="307">
        <f t="shared" si="3"/>
        <v>0</v>
      </c>
      <c r="J10" s="314">
        <f t="shared" si="4"/>
        <v>-1</v>
      </c>
      <c r="K10" s="305">
        <v>0</v>
      </c>
      <c r="L10" s="309">
        <f t="shared" si="5"/>
        <v>-1</v>
      </c>
      <c r="M10" s="305">
        <v>0</v>
      </c>
      <c r="N10" s="309">
        <f t="shared" si="6"/>
        <v>-1</v>
      </c>
      <c r="O10" s="305">
        <v>0</v>
      </c>
      <c r="P10" s="309">
        <f t="shared" si="7"/>
        <v>-1</v>
      </c>
      <c r="Q10" s="307">
        <f t="shared" si="8"/>
        <v>0</v>
      </c>
      <c r="R10" s="314">
        <f t="shared" si="9"/>
        <v>-1</v>
      </c>
    </row>
    <row r="11" spans="1:18" x14ac:dyDescent="0.25">
      <c r="A11" s="303" t="s">
        <v>241</v>
      </c>
      <c r="B11" s="332">
        <v>300</v>
      </c>
      <c r="C11" s="305">
        <v>0</v>
      </c>
      <c r="D11" s="309">
        <f t="shared" si="0"/>
        <v>-1</v>
      </c>
      <c r="E11" s="305">
        <v>0</v>
      </c>
      <c r="F11" s="309">
        <f t="shared" si="1"/>
        <v>-1</v>
      </c>
      <c r="G11" s="305">
        <v>0</v>
      </c>
      <c r="H11" s="309">
        <f t="shared" si="2"/>
        <v>-1</v>
      </c>
      <c r="I11" s="307">
        <f t="shared" si="3"/>
        <v>0</v>
      </c>
      <c r="J11" s="314">
        <f t="shared" si="4"/>
        <v>-1</v>
      </c>
      <c r="K11" s="305">
        <v>0</v>
      </c>
      <c r="L11" s="309">
        <f t="shared" si="5"/>
        <v>-1</v>
      </c>
      <c r="M11" s="305">
        <v>0</v>
      </c>
      <c r="N11" s="309">
        <f t="shared" si="6"/>
        <v>-1</v>
      </c>
      <c r="O11" s="305">
        <v>0</v>
      </c>
      <c r="P11" s="309">
        <f t="shared" si="7"/>
        <v>-1</v>
      </c>
      <c r="Q11" s="307">
        <f t="shared" si="8"/>
        <v>0</v>
      </c>
      <c r="R11" s="314">
        <f t="shared" si="9"/>
        <v>-1</v>
      </c>
    </row>
    <row r="12" spans="1:18" hidden="1" x14ac:dyDescent="0.25">
      <c r="A12" s="303" t="s">
        <v>242</v>
      </c>
      <c r="B12" s="332">
        <v>300</v>
      </c>
      <c r="C12" s="305">
        <v>0</v>
      </c>
      <c r="D12" s="309">
        <f t="shared" si="0"/>
        <v>-1</v>
      </c>
      <c r="E12" s="305">
        <v>0</v>
      </c>
      <c r="F12" s="309">
        <f t="shared" si="1"/>
        <v>-1</v>
      </c>
      <c r="G12" s="305">
        <v>0</v>
      </c>
      <c r="H12" s="309">
        <f t="shared" si="2"/>
        <v>-1</v>
      </c>
      <c r="I12" s="307">
        <f t="shared" si="3"/>
        <v>0</v>
      </c>
      <c r="J12" s="314">
        <f t="shared" si="4"/>
        <v>-1</v>
      </c>
      <c r="K12" s="305">
        <v>0</v>
      </c>
      <c r="L12" s="309">
        <f t="shared" si="5"/>
        <v>-1</v>
      </c>
      <c r="M12" s="305">
        <v>0</v>
      </c>
      <c r="N12" s="309">
        <f t="shared" si="6"/>
        <v>-1</v>
      </c>
      <c r="O12" s="305">
        <v>0</v>
      </c>
      <c r="P12" s="309">
        <f t="shared" si="7"/>
        <v>-1</v>
      </c>
      <c r="Q12" s="307">
        <f t="shared" si="8"/>
        <v>0</v>
      </c>
      <c r="R12" s="314">
        <f t="shared" si="9"/>
        <v>-1</v>
      </c>
    </row>
    <row r="13" spans="1:18" hidden="1" x14ac:dyDescent="0.25">
      <c r="A13" s="303" t="s">
        <v>243</v>
      </c>
      <c r="B13" s="332">
        <v>400</v>
      </c>
      <c r="C13" s="305">
        <v>0</v>
      </c>
      <c r="D13" s="309">
        <f t="shared" si="0"/>
        <v>-1</v>
      </c>
      <c r="E13" s="305">
        <v>0</v>
      </c>
      <c r="F13" s="309">
        <f t="shared" si="1"/>
        <v>-1</v>
      </c>
      <c r="G13" s="305">
        <v>0</v>
      </c>
      <c r="H13" s="309">
        <f t="shared" si="2"/>
        <v>-1</v>
      </c>
      <c r="I13" s="307">
        <f t="shared" si="3"/>
        <v>0</v>
      </c>
      <c r="J13" s="314">
        <f t="shared" si="4"/>
        <v>-1</v>
      </c>
      <c r="K13" s="305">
        <v>0</v>
      </c>
      <c r="L13" s="309">
        <f t="shared" si="5"/>
        <v>-1</v>
      </c>
      <c r="M13" s="305">
        <v>0</v>
      </c>
      <c r="N13" s="309">
        <f t="shared" si="6"/>
        <v>-1</v>
      </c>
      <c r="O13" s="305">
        <v>0</v>
      </c>
      <c r="P13" s="309">
        <f t="shared" si="7"/>
        <v>-1</v>
      </c>
      <c r="Q13" s="307">
        <f t="shared" si="8"/>
        <v>0</v>
      </c>
      <c r="R13" s="314">
        <f t="shared" si="9"/>
        <v>-1</v>
      </c>
    </row>
    <row r="14" spans="1:18" hidden="1" x14ac:dyDescent="0.25">
      <c r="A14" s="303" t="s">
        <v>244</v>
      </c>
      <c r="B14" s="332">
        <v>400</v>
      </c>
      <c r="C14" s="305">
        <v>0</v>
      </c>
      <c r="D14" s="309">
        <f t="shared" si="0"/>
        <v>-1</v>
      </c>
      <c r="E14" s="305">
        <v>0</v>
      </c>
      <c r="F14" s="309">
        <f t="shared" si="1"/>
        <v>-1</v>
      </c>
      <c r="G14" s="305">
        <v>0</v>
      </c>
      <c r="H14" s="309">
        <f t="shared" si="2"/>
        <v>-1</v>
      </c>
      <c r="I14" s="307">
        <f t="shared" si="3"/>
        <v>0</v>
      </c>
      <c r="J14" s="314">
        <f t="shared" si="4"/>
        <v>-1</v>
      </c>
      <c r="K14" s="305">
        <v>0</v>
      </c>
      <c r="L14" s="309">
        <f t="shared" si="5"/>
        <v>-1</v>
      </c>
      <c r="M14" s="305">
        <v>0</v>
      </c>
      <c r="N14" s="309">
        <f t="shared" si="6"/>
        <v>-1</v>
      </c>
      <c r="O14" s="305">
        <v>0</v>
      </c>
      <c r="P14" s="309">
        <f t="shared" si="7"/>
        <v>-1</v>
      </c>
      <c r="Q14" s="307">
        <f t="shared" si="8"/>
        <v>0</v>
      </c>
      <c r="R14" s="314">
        <f t="shared" si="9"/>
        <v>-1</v>
      </c>
    </row>
    <row r="15" spans="1:18" hidden="1" x14ac:dyDescent="0.25">
      <c r="A15" s="444" t="s">
        <v>6</v>
      </c>
      <c r="B15" s="332">
        <f>SUM(B7:B14)</f>
        <v>2800</v>
      </c>
      <c r="C15" s="445">
        <f>SUM(C7:C14)</f>
        <v>0</v>
      </c>
      <c r="D15" s="309">
        <f>((C15/$B15))-1</f>
        <v>-1</v>
      </c>
      <c r="E15" s="445">
        <f>SUM(E7:E14)</f>
        <v>0</v>
      </c>
      <c r="F15" s="309">
        <f>((E15/$B15))-1</f>
        <v>-1</v>
      </c>
      <c r="G15" s="445">
        <f>SUM(G7:G14)</f>
        <v>0</v>
      </c>
      <c r="H15" s="309">
        <f>((G15/$B15))-1</f>
        <v>-1</v>
      </c>
      <c r="I15" s="307">
        <f>C15+E15+G15</f>
        <v>0</v>
      </c>
      <c r="J15" s="314">
        <f>((I15/(3*$B15)))-1</f>
        <v>-1</v>
      </c>
      <c r="K15" s="445">
        <f>SUM(K7:K14)</f>
        <v>0</v>
      </c>
      <c r="L15" s="309">
        <f>((K15/$B15))-1</f>
        <v>-1</v>
      </c>
      <c r="M15" s="445">
        <f>SUM(M7:M14)</f>
        <v>0</v>
      </c>
      <c r="N15" s="309">
        <f>((M15/$B15))-1</f>
        <v>-1</v>
      </c>
      <c r="O15" s="445">
        <f>SUM(O7:O14)</f>
        <v>0</v>
      </c>
      <c r="P15" s="309">
        <f>((O15/$B15))-1</f>
        <v>-1</v>
      </c>
      <c r="Q15" s="307">
        <f>K15+M15+O15</f>
        <v>0</v>
      </c>
      <c r="R15" s="314">
        <f>((Q15/(3*$B15)))-1</f>
        <v>-1</v>
      </c>
    </row>
    <row r="16" spans="1:18" hidden="1" x14ac:dyDescent="0.25"/>
    <row r="17" spans="1:18" ht="15.75" hidden="1" x14ac:dyDescent="0.25">
      <c r="A17" s="609" t="s">
        <v>237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</row>
    <row r="18" spans="1:18" ht="24" hidden="1" x14ac:dyDescent="0.25">
      <c r="A18" s="439" t="s">
        <v>12</v>
      </c>
      <c r="B18" s="458" t="s">
        <v>13</v>
      </c>
      <c r="C18" s="439" t="str">
        <f t="shared" ref="C18:R18" si="10">C6</f>
        <v>JUL</v>
      </c>
      <c r="D18" s="441" t="str">
        <f t="shared" si="10"/>
        <v>%</v>
      </c>
      <c r="E18" s="439" t="str">
        <f t="shared" si="10"/>
        <v>AGO</v>
      </c>
      <c r="F18" s="441" t="str">
        <f t="shared" si="10"/>
        <v>%</v>
      </c>
      <c r="G18" s="439" t="str">
        <f t="shared" si="10"/>
        <v>SET</v>
      </c>
      <c r="H18" s="441" t="str">
        <f t="shared" si="10"/>
        <v>%</v>
      </c>
      <c r="I18" s="442" t="str">
        <f t="shared" si="10"/>
        <v>Trimestre</v>
      </c>
      <c r="J18" s="442" t="str">
        <f t="shared" si="10"/>
        <v>%</v>
      </c>
      <c r="K18" s="439" t="str">
        <f t="shared" si="10"/>
        <v>OUT</v>
      </c>
      <c r="L18" s="441" t="str">
        <f t="shared" si="10"/>
        <v>%</v>
      </c>
      <c r="M18" s="439" t="str">
        <f t="shared" si="10"/>
        <v>NOV</v>
      </c>
      <c r="N18" s="441" t="str">
        <f t="shared" si="10"/>
        <v>%</v>
      </c>
      <c r="O18" s="439" t="str">
        <f t="shared" si="10"/>
        <v>DEZ</v>
      </c>
      <c r="P18" s="441" t="str">
        <f t="shared" si="10"/>
        <v>%</v>
      </c>
      <c r="Q18" s="442" t="str">
        <f t="shared" si="10"/>
        <v>Trimestre</v>
      </c>
      <c r="R18" s="442" t="str">
        <f t="shared" si="10"/>
        <v>%</v>
      </c>
    </row>
    <row r="19" spans="1:18" hidden="1" x14ac:dyDescent="0.25">
      <c r="A19" s="303" t="s">
        <v>245</v>
      </c>
      <c r="B19" s="332">
        <v>240</v>
      </c>
      <c r="C19" s="305"/>
      <c r="D19" s="309">
        <f>((C19/$B19))-1</f>
        <v>-1</v>
      </c>
      <c r="E19" s="305"/>
      <c r="F19" s="309">
        <f>((E19/$B19))-1</f>
        <v>-1</v>
      </c>
      <c r="G19" s="305"/>
      <c r="H19" s="309">
        <f>((G19/$B19))-1</f>
        <v>-1</v>
      </c>
      <c r="I19" s="307">
        <f>C19+E19+G19</f>
        <v>0</v>
      </c>
      <c r="J19" s="314">
        <f>((I19/(3*$B19)))-1</f>
        <v>-1</v>
      </c>
      <c r="K19" s="305"/>
      <c r="L19" s="309">
        <f>((K19/$B19))-1</f>
        <v>-1</v>
      </c>
      <c r="M19" s="305"/>
      <c r="N19" s="309">
        <f>((M19/$B19))-1</f>
        <v>-1</v>
      </c>
      <c r="O19" s="305"/>
      <c r="P19" s="309">
        <f>((O19/$B19))-1</f>
        <v>-1</v>
      </c>
      <c r="Q19" s="307">
        <f>K19+M19+O19</f>
        <v>0</v>
      </c>
      <c r="R19" s="314">
        <f>((Q19/(3*$B19)))-1</f>
        <v>-1</v>
      </c>
    </row>
    <row r="20" spans="1:18" hidden="1" x14ac:dyDescent="0.25">
      <c r="A20" s="444" t="s">
        <v>6</v>
      </c>
      <c r="B20" s="332">
        <f>SUM(B19:B19)</f>
        <v>240</v>
      </c>
      <c r="C20" s="445">
        <f>C19</f>
        <v>0</v>
      </c>
      <c r="D20" s="309">
        <f>((C20/$B20))-1</f>
        <v>-1</v>
      </c>
      <c r="E20" s="445">
        <f>E19</f>
        <v>0</v>
      </c>
      <c r="F20" s="309">
        <f>((E20/$B20))-1</f>
        <v>-1</v>
      </c>
      <c r="G20" s="445">
        <f>G19</f>
        <v>0</v>
      </c>
      <c r="H20" s="309">
        <f>((G20/$B20))-1</f>
        <v>-1</v>
      </c>
      <c r="I20" s="307">
        <f>C20+E20+G20</f>
        <v>0</v>
      </c>
      <c r="J20" s="314">
        <f>((I20/(3*$B20)))-1</f>
        <v>-1</v>
      </c>
      <c r="K20" s="445">
        <f>K19</f>
        <v>0</v>
      </c>
      <c r="L20" s="309">
        <f>((K20/$B20))-1</f>
        <v>-1</v>
      </c>
      <c r="M20" s="445">
        <f>M19</f>
        <v>0</v>
      </c>
      <c r="N20" s="309">
        <f>((M20/$B20))-1</f>
        <v>-1</v>
      </c>
      <c r="O20" s="445">
        <f>O19</f>
        <v>0</v>
      </c>
      <c r="P20" s="309">
        <f>((O20/$B20))-1</f>
        <v>-1</v>
      </c>
      <c r="Q20" s="459">
        <f>Q19</f>
        <v>0</v>
      </c>
      <c r="R20" s="314">
        <f>((Q20/(3*$B20)))-1</f>
        <v>-1</v>
      </c>
    </row>
    <row r="21" spans="1:18" hidden="1" x14ac:dyDescent="0.25"/>
    <row r="22" spans="1:18" ht="15.75" hidden="1" x14ac:dyDescent="0.25">
      <c r="A22" s="603" t="s">
        <v>330</v>
      </c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</row>
    <row r="23" spans="1:18" ht="24.75" hidden="1" thickBot="1" x14ac:dyDescent="0.3">
      <c r="A23" s="57" t="s">
        <v>12</v>
      </c>
      <c r="B23" s="340" t="s">
        <v>13</v>
      </c>
      <c r="C23" s="320" t="str">
        <f t="shared" ref="C23:R23" si="11">C18</f>
        <v>JUL</v>
      </c>
      <c r="D23" s="321" t="str">
        <f t="shared" si="11"/>
        <v>%</v>
      </c>
      <c r="E23" s="320" t="str">
        <f t="shared" si="11"/>
        <v>AGO</v>
      </c>
      <c r="F23" s="321" t="str">
        <f t="shared" si="11"/>
        <v>%</v>
      </c>
      <c r="G23" s="320" t="str">
        <f t="shared" si="11"/>
        <v>SET</v>
      </c>
      <c r="H23" s="321" t="str">
        <f t="shared" si="11"/>
        <v>%</v>
      </c>
      <c r="I23" s="322" t="str">
        <f t="shared" si="11"/>
        <v>Trimestre</v>
      </c>
      <c r="J23" s="322" t="str">
        <f t="shared" si="11"/>
        <v>%</v>
      </c>
      <c r="K23" s="320" t="str">
        <f t="shared" si="11"/>
        <v>OUT</v>
      </c>
      <c r="L23" s="321" t="str">
        <f t="shared" si="11"/>
        <v>%</v>
      </c>
      <c r="M23" s="320" t="str">
        <f t="shared" si="11"/>
        <v>NOV</v>
      </c>
      <c r="N23" s="321" t="str">
        <f t="shared" si="11"/>
        <v>%</v>
      </c>
      <c r="O23" s="320" t="str">
        <f t="shared" si="11"/>
        <v>DEZ</v>
      </c>
      <c r="P23" s="321" t="str">
        <f t="shared" si="11"/>
        <v>%</v>
      </c>
      <c r="Q23" s="322" t="str">
        <f t="shared" si="11"/>
        <v>Trimestre</v>
      </c>
      <c r="R23" s="322" t="str">
        <f t="shared" si="11"/>
        <v>%</v>
      </c>
    </row>
    <row r="24" spans="1:18" ht="15.75" hidden="1" thickTop="1" x14ac:dyDescent="0.25">
      <c r="A24" s="575" t="s">
        <v>248</v>
      </c>
      <c r="B24" s="332">
        <v>288</v>
      </c>
      <c r="C24" s="305"/>
      <c r="D24" s="309">
        <f t="shared" ref="D24:D34" si="12">((C24/$B24))-1</f>
        <v>-1</v>
      </c>
      <c r="E24" s="305"/>
      <c r="F24" s="309">
        <f t="shared" ref="F24:F34" si="13">((E24/$B24))-1</f>
        <v>-1</v>
      </c>
      <c r="G24" s="305">
        <v>0</v>
      </c>
      <c r="H24" s="309">
        <f t="shared" ref="H24:H34" si="14">((G24/$B24))-1</f>
        <v>-1</v>
      </c>
      <c r="I24" s="307">
        <f t="shared" ref="I24:I34" si="15">C24+E24+G24</f>
        <v>0</v>
      </c>
      <c r="J24" s="314">
        <f t="shared" ref="J24:J34" si="16">((I24/(3*$B24)))-1</f>
        <v>-1</v>
      </c>
      <c r="K24" s="305"/>
      <c r="L24" s="309">
        <f t="shared" ref="L24:L34" si="17">((K24/$B24))-1</f>
        <v>-1</v>
      </c>
      <c r="M24" s="305"/>
      <c r="N24" s="309">
        <f t="shared" ref="N24:N34" si="18">((M24/$B24))-1</f>
        <v>-1</v>
      </c>
      <c r="O24" s="305"/>
      <c r="P24" s="309">
        <f t="shared" ref="P24:P34" si="19">((O24/$B24))-1</f>
        <v>-1</v>
      </c>
      <c r="Q24" s="307">
        <f t="shared" ref="Q24:Q34" si="20">K24+M24+O24</f>
        <v>0</v>
      </c>
      <c r="R24" s="314">
        <f t="shared" ref="R24:R34" si="21">((Q24/(3*$B24)))-1</f>
        <v>-1</v>
      </c>
    </row>
    <row r="25" spans="1:18" hidden="1" x14ac:dyDescent="0.25">
      <c r="A25" s="303" t="s">
        <v>249</v>
      </c>
      <c r="B25" s="341">
        <v>480</v>
      </c>
      <c r="C25" s="326"/>
      <c r="D25" s="309">
        <f t="shared" si="12"/>
        <v>-1</v>
      </c>
      <c r="E25" s="326"/>
      <c r="F25" s="309">
        <f t="shared" si="13"/>
        <v>-1</v>
      </c>
      <c r="G25" s="326">
        <v>0</v>
      </c>
      <c r="H25" s="327">
        <f t="shared" si="14"/>
        <v>-1</v>
      </c>
      <c r="I25" s="328">
        <f t="shared" si="15"/>
        <v>0</v>
      </c>
      <c r="J25" s="329">
        <f t="shared" si="16"/>
        <v>-1</v>
      </c>
      <c r="K25" s="326"/>
      <c r="L25" s="327">
        <f t="shared" si="17"/>
        <v>-1</v>
      </c>
      <c r="M25" s="326"/>
      <c r="N25" s="327">
        <f t="shared" si="18"/>
        <v>-1</v>
      </c>
      <c r="O25" s="326"/>
      <c r="P25" s="327">
        <f t="shared" si="19"/>
        <v>-1</v>
      </c>
      <c r="Q25" s="328">
        <f t="shared" si="20"/>
        <v>0</v>
      </c>
      <c r="R25" s="329">
        <f t="shared" si="21"/>
        <v>-1</v>
      </c>
    </row>
    <row r="26" spans="1:18" hidden="1" x14ac:dyDescent="0.25">
      <c r="A26" s="303" t="s">
        <v>250</v>
      </c>
      <c r="B26" s="341">
        <v>100</v>
      </c>
      <c r="C26" s="326"/>
      <c r="D26" s="309">
        <f t="shared" si="12"/>
        <v>-1</v>
      </c>
      <c r="E26" s="326"/>
      <c r="F26" s="309">
        <f t="shared" si="13"/>
        <v>-1</v>
      </c>
      <c r="G26" s="326">
        <v>0</v>
      </c>
      <c r="H26" s="327">
        <f t="shared" si="14"/>
        <v>-1</v>
      </c>
      <c r="I26" s="328">
        <f t="shared" si="15"/>
        <v>0</v>
      </c>
      <c r="J26" s="329">
        <f t="shared" si="16"/>
        <v>-1</v>
      </c>
      <c r="K26" s="326"/>
      <c r="L26" s="327">
        <f t="shared" si="17"/>
        <v>-1</v>
      </c>
      <c r="M26" s="326"/>
      <c r="N26" s="327">
        <f t="shared" si="18"/>
        <v>-1</v>
      </c>
      <c r="O26" s="326"/>
      <c r="P26" s="327">
        <f t="shared" si="19"/>
        <v>-1</v>
      </c>
      <c r="Q26" s="328">
        <f t="shared" si="20"/>
        <v>0</v>
      </c>
      <c r="R26" s="329">
        <f t="shared" si="21"/>
        <v>-1</v>
      </c>
    </row>
    <row r="27" spans="1:18" hidden="1" x14ac:dyDescent="0.25">
      <c r="A27" s="303" t="s">
        <v>251</v>
      </c>
      <c r="B27" s="332">
        <v>40</v>
      </c>
      <c r="C27" s="305"/>
      <c r="D27" s="309">
        <f t="shared" si="12"/>
        <v>-1</v>
      </c>
      <c r="E27" s="305"/>
      <c r="F27" s="309">
        <f t="shared" si="13"/>
        <v>-1</v>
      </c>
      <c r="G27" s="305">
        <v>0</v>
      </c>
      <c r="H27" s="309">
        <f t="shared" si="14"/>
        <v>-1</v>
      </c>
      <c r="I27" s="328">
        <f t="shared" si="15"/>
        <v>0</v>
      </c>
      <c r="J27" s="329">
        <f t="shared" si="16"/>
        <v>-1</v>
      </c>
      <c r="K27" s="305"/>
      <c r="L27" s="309">
        <f t="shared" si="17"/>
        <v>-1</v>
      </c>
      <c r="M27" s="305"/>
      <c r="N27" s="309">
        <f t="shared" si="18"/>
        <v>-1</v>
      </c>
      <c r="O27" s="305"/>
      <c r="P27" s="309">
        <f t="shared" si="19"/>
        <v>-1</v>
      </c>
      <c r="Q27" s="328">
        <f t="shared" si="20"/>
        <v>0</v>
      </c>
      <c r="R27" s="329">
        <f t="shared" si="21"/>
        <v>-1</v>
      </c>
    </row>
    <row r="28" spans="1:18" hidden="1" x14ac:dyDescent="0.25">
      <c r="A28" s="303" t="s">
        <v>252</v>
      </c>
      <c r="B28" s="332">
        <v>192</v>
      </c>
      <c r="C28" s="305"/>
      <c r="D28" s="309">
        <f t="shared" si="12"/>
        <v>-1</v>
      </c>
      <c r="E28" s="305"/>
      <c r="F28" s="309">
        <f t="shared" si="13"/>
        <v>-1</v>
      </c>
      <c r="G28" s="305">
        <v>0</v>
      </c>
      <c r="H28" s="309">
        <f>((G28/$B28))-1</f>
        <v>-1</v>
      </c>
      <c r="I28" s="328">
        <f t="shared" si="15"/>
        <v>0</v>
      </c>
      <c r="J28" s="329">
        <f t="shared" si="16"/>
        <v>-1</v>
      </c>
      <c r="K28" s="305"/>
      <c r="L28" s="309">
        <f t="shared" si="17"/>
        <v>-1</v>
      </c>
      <c r="M28" s="305"/>
      <c r="N28" s="309">
        <f t="shared" si="18"/>
        <v>-1</v>
      </c>
      <c r="O28" s="305"/>
      <c r="P28" s="309">
        <f t="shared" si="19"/>
        <v>-1</v>
      </c>
      <c r="Q28" s="328">
        <f t="shared" si="20"/>
        <v>0</v>
      </c>
      <c r="R28" s="329">
        <f t="shared" si="21"/>
        <v>-1</v>
      </c>
    </row>
    <row r="29" spans="1:18" hidden="1" x14ac:dyDescent="0.25">
      <c r="A29" s="318" t="s">
        <v>254</v>
      </c>
      <c r="B29" s="341">
        <v>240</v>
      </c>
      <c r="C29" s="326"/>
      <c r="D29" s="309">
        <f t="shared" si="12"/>
        <v>-1</v>
      </c>
      <c r="E29" s="326"/>
      <c r="F29" s="309">
        <f t="shared" si="13"/>
        <v>-1</v>
      </c>
      <c r="G29" s="326">
        <v>0</v>
      </c>
      <c r="H29" s="309">
        <f>((G29/$B29))-1</f>
        <v>-1</v>
      </c>
      <c r="I29" s="328">
        <f t="shared" si="15"/>
        <v>0</v>
      </c>
      <c r="J29" s="329">
        <f t="shared" si="16"/>
        <v>-1</v>
      </c>
      <c r="K29" s="326"/>
      <c r="L29" s="309">
        <f t="shared" si="17"/>
        <v>-1</v>
      </c>
      <c r="M29" s="326"/>
      <c r="N29" s="309">
        <f t="shared" si="18"/>
        <v>-1</v>
      </c>
      <c r="O29" s="326"/>
      <c r="P29" s="309">
        <f t="shared" si="19"/>
        <v>-1</v>
      </c>
      <c r="Q29" s="328">
        <f t="shared" si="20"/>
        <v>0</v>
      </c>
      <c r="R29" s="329">
        <f t="shared" si="21"/>
        <v>-1</v>
      </c>
    </row>
    <row r="30" spans="1:18" hidden="1" x14ac:dyDescent="0.25">
      <c r="A30" s="318" t="s">
        <v>253</v>
      </c>
      <c r="B30" s="341">
        <v>288</v>
      </c>
      <c r="C30" s="326"/>
      <c r="D30" s="327">
        <f t="shared" si="12"/>
        <v>-1</v>
      </c>
      <c r="E30" s="326"/>
      <c r="F30" s="327">
        <f t="shared" si="13"/>
        <v>-1</v>
      </c>
      <c r="G30" s="326">
        <v>0</v>
      </c>
      <c r="H30" s="327">
        <f t="shared" si="14"/>
        <v>-1</v>
      </c>
      <c r="I30" s="328">
        <f t="shared" si="15"/>
        <v>0</v>
      </c>
      <c r="J30" s="329">
        <f t="shared" si="16"/>
        <v>-1</v>
      </c>
      <c r="K30" s="326"/>
      <c r="L30" s="327">
        <f t="shared" si="17"/>
        <v>-1</v>
      </c>
      <c r="M30" s="326"/>
      <c r="N30" s="327">
        <f t="shared" si="18"/>
        <v>-1</v>
      </c>
      <c r="O30" s="326"/>
      <c r="P30" s="327">
        <f t="shared" si="19"/>
        <v>-1</v>
      </c>
      <c r="Q30" s="328">
        <f t="shared" si="20"/>
        <v>0</v>
      </c>
      <c r="R30" s="329">
        <f t="shared" si="21"/>
        <v>-1</v>
      </c>
    </row>
    <row r="31" spans="1:18" hidden="1" x14ac:dyDescent="0.25">
      <c r="A31" s="303" t="s">
        <v>255</v>
      </c>
      <c r="B31" s="332">
        <v>48</v>
      </c>
      <c r="C31" s="305"/>
      <c r="D31" s="327">
        <f t="shared" si="12"/>
        <v>-1</v>
      </c>
      <c r="E31" s="305"/>
      <c r="F31" s="327">
        <f t="shared" si="13"/>
        <v>-1</v>
      </c>
      <c r="G31" s="305">
        <v>0</v>
      </c>
      <c r="H31" s="327">
        <f t="shared" si="14"/>
        <v>-1</v>
      </c>
      <c r="I31" s="328">
        <f t="shared" si="15"/>
        <v>0</v>
      </c>
      <c r="J31" s="329">
        <f t="shared" si="16"/>
        <v>-1</v>
      </c>
      <c r="K31" s="305"/>
      <c r="L31" s="327">
        <f t="shared" si="17"/>
        <v>-1</v>
      </c>
      <c r="M31" s="305"/>
      <c r="N31" s="327">
        <f t="shared" si="18"/>
        <v>-1</v>
      </c>
      <c r="O31" s="305"/>
      <c r="P31" s="327">
        <f t="shared" si="19"/>
        <v>-1</v>
      </c>
      <c r="Q31" s="328">
        <f t="shared" si="20"/>
        <v>0</v>
      </c>
      <c r="R31" s="329">
        <f t="shared" si="21"/>
        <v>-1</v>
      </c>
    </row>
    <row r="32" spans="1:18" hidden="1" x14ac:dyDescent="0.25">
      <c r="A32" s="303" t="s">
        <v>256</v>
      </c>
      <c r="B32" s="332">
        <v>96</v>
      </c>
      <c r="C32" s="305"/>
      <c r="D32" s="327">
        <f t="shared" si="12"/>
        <v>-1</v>
      </c>
      <c r="E32" s="305"/>
      <c r="F32" s="327">
        <f t="shared" si="13"/>
        <v>-1</v>
      </c>
      <c r="G32" s="305">
        <v>0</v>
      </c>
      <c r="H32" s="327">
        <f t="shared" si="14"/>
        <v>-1</v>
      </c>
      <c r="I32" s="328">
        <f t="shared" si="15"/>
        <v>0</v>
      </c>
      <c r="J32" s="329">
        <f t="shared" si="16"/>
        <v>-1</v>
      </c>
      <c r="K32" s="305"/>
      <c r="L32" s="327">
        <f t="shared" si="17"/>
        <v>-1</v>
      </c>
      <c r="M32" s="305"/>
      <c r="N32" s="327">
        <f t="shared" si="18"/>
        <v>-1</v>
      </c>
      <c r="O32" s="305"/>
      <c r="P32" s="327">
        <f t="shared" si="19"/>
        <v>-1</v>
      </c>
      <c r="Q32" s="328">
        <f t="shared" si="20"/>
        <v>0</v>
      </c>
      <c r="R32" s="329">
        <f t="shared" si="21"/>
        <v>-1</v>
      </c>
    </row>
    <row r="33" spans="1:18" hidden="1" x14ac:dyDescent="0.25">
      <c r="A33" s="303" t="s">
        <v>247</v>
      </c>
      <c r="B33" s="332">
        <v>864</v>
      </c>
      <c r="C33" s="305"/>
      <c r="D33" s="327">
        <f t="shared" si="12"/>
        <v>-1</v>
      </c>
      <c r="E33" s="305"/>
      <c r="F33" s="327">
        <f t="shared" si="13"/>
        <v>-1</v>
      </c>
      <c r="G33" s="305">
        <v>0</v>
      </c>
      <c r="H33" s="327">
        <f t="shared" si="14"/>
        <v>-1</v>
      </c>
      <c r="I33" s="328">
        <f t="shared" si="15"/>
        <v>0</v>
      </c>
      <c r="J33" s="329">
        <f t="shared" si="16"/>
        <v>-1</v>
      </c>
      <c r="K33" s="305"/>
      <c r="L33" s="327">
        <f t="shared" si="17"/>
        <v>-1</v>
      </c>
      <c r="M33" s="305"/>
      <c r="N33" s="327">
        <f t="shared" si="18"/>
        <v>-1</v>
      </c>
      <c r="O33" s="305"/>
      <c r="P33" s="327">
        <f t="shared" si="19"/>
        <v>-1</v>
      </c>
      <c r="Q33" s="328">
        <f t="shared" si="20"/>
        <v>0</v>
      </c>
      <c r="R33" s="329">
        <f t="shared" si="21"/>
        <v>-1</v>
      </c>
    </row>
    <row r="34" spans="1:18" ht="15.75" hidden="1" thickBot="1" x14ac:dyDescent="0.3">
      <c r="A34" s="318" t="s">
        <v>257</v>
      </c>
      <c r="B34" s="341">
        <v>288</v>
      </c>
      <c r="C34" s="326"/>
      <c r="D34" s="327">
        <f t="shared" si="12"/>
        <v>-1</v>
      </c>
      <c r="E34" s="326"/>
      <c r="F34" s="327">
        <f t="shared" si="13"/>
        <v>-1</v>
      </c>
      <c r="G34" s="326">
        <v>0</v>
      </c>
      <c r="H34" s="327">
        <f t="shared" si="14"/>
        <v>-1</v>
      </c>
      <c r="I34" s="328">
        <f t="shared" si="15"/>
        <v>0</v>
      </c>
      <c r="J34" s="329">
        <f t="shared" si="16"/>
        <v>-1</v>
      </c>
      <c r="K34" s="326"/>
      <c r="L34" s="327">
        <f t="shared" si="17"/>
        <v>-1</v>
      </c>
      <c r="M34" s="326"/>
      <c r="N34" s="327">
        <f t="shared" si="18"/>
        <v>-1</v>
      </c>
      <c r="O34" s="326"/>
      <c r="P34" s="327">
        <f t="shared" si="19"/>
        <v>-1</v>
      </c>
      <c r="Q34" s="328">
        <f t="shared" si="20"/>
        <v>0</v>
      </c>
      <c r="R34" s="329">
        <f t="shared" si="21"/>
        <v>-1</v>
      </c>
    </row>
    <row r="35" spans="1:18" ht="15.75" hidden="1" thickBot="1" x14ac:dyDescent="0.3">
      <c r="A35" s="44" t="s">
        <v>6</v>
      </c>
      <c r="B35" s="350">
        <f>SUM(B24:B34)</f>
        <v>2924</v>
      </c>
      <c r="C35" s="48">
        <f>SUM(C24:C34)</f>
        <v>0</v>
      </c>
      <c r="D35" s="52">
        <f>((C35/$B35))-1</f>
        <v>-1</v>
      </c>
      <c r="E35" s="48">
        <f>SUM(E24:E34)</f>
        <v>0</v>
      </c>
      <c r="F35" s="52">
        <f>((E35/$B35))-1</f>
        <v>-1</v>
      </c>
      <c r="G35" s="48">
        <f>SUM(G24:G34)</f>
        <v>0</v>
      </c>
      <c r="H35" s="351">
        <f>((G35/$B35))-1</f>
        <v>-1</v>
      </c>
      <c r="I35" s="352">
        <f>C35+E35+G35</f>
        <v>0</v>
      </c>
      <c r="J35" s="353">
        <f>((I35/(3*$B35)))-1</f>
        <v>-1</v>
      </c>
      <c r="K35" s="48">
        <f>SUM(K24:K34)</f>
        <v>0</v>
      </c>
      <c r="L35" s="52">
        <f>((K35/$B35))-1</f>
        <v>-1</v>
      </c>
      <c r="M35" s="48">
        <f>SUM(M24:M34)</f>
        <v>0</v>
      </c>
      <c r="N35" s="52">
        <f>((M35/$B35))-1</f>
        <v>-1</v>
      </c>
      <c r="O35" s="48">
        <f>SUM(O24:O34)</f>
        <v>0</v>
      </c>
      <c r="P35" s="351">
        <f>((O35/$B35))-1</f>
        <v>-1</v>
      </c>
      <c r="Q35" s="352">
        <f>K35+M35+O35</f>
        <v>0</v>
      </c>
      <c r="R35" s="353">
        <f>((Q35/(3*$B35)))-1</f>
        <v>-1</v>
      </c>
    </row>
    <row r="36" spans="1:18" hidden="1" x14ac:dyDescent="0.25"/>
    <row r="37" spans="1:18" hidden="1" x14ac:dyDescent="0.25"/>
    <row r="38" spans="1:18" hidden="1" x14ac:dyDescent="0.25"/>
    <row r="39" spans="1:18" hidden="1" x14ac:dyDescent="0.25"/>
    <row r="40" spans="1:18" hidden="1" x14ac:dyDescent="0.25"/>
    <row r="41" spans="1:18" hidden="1" x14ac:dyDescent="0.25"/>
    <row r="44" spans="1:18" x14ac:dyDescent="0.25">
      <c r="A44" t="s">
        <v>335</v>
      </c>
    </row>
  </sheetData>
  <mergeCells count="5">
    <mergeCell ref="A5:R5"/>
    <mergeCell ref="A17:R17"/>
    <mergeCell ref="A2:R2"/>
    <mergeCell ref="A3:R3"/>
    <mergeCell ref="A22:R22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>&amp;L&amp;12Fonte: Sistema SIGA-Saúde SP - Relatório de Dados Estatísticos&amp;R&amp;12pag.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CC66"/>
  </sheetPr>
  <dimension ref="A2:N182"/>
  <sheetViews>
    <sheetView showGridLines="0" tabSelected="1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48.42578125" style="460" customWidth="1"/>
    <col min="2" max="3" width="9.28515625" style="460" bestFit="1" customWidth="1"/>
    <col min="4" max="4" width="10.140625" style="460" bestFit="1" customWidth="1"/>
    <col min="5" max="5" width="9.28515625" style="460" bestFit="1" customWidth="1"/>
    <col min="6" max="6" width="11.140625" style="460" bestFit="1" customWidth="1"/>
    <col min="7" max="7" width="9.28515625" style="460" bestFit="1" customWidth="1"/>
    <col min="8" max="8" width="10.140625" style="460" bestFit="1" customWidth="1"/>
    <col min="9" max="9" width="9.28515625" style="460" bestFit="1" customWidth="1"/>
    <col min="10" max="10" width="10.140625" style="460" bestFit="1" customWidth="1"/>
    <col min="11" max="11" width="9.28515625" style="460" bestFit="1" customWidth="1"/>
    <col min="12" max="12" width="10.140625" style="460" bestFit="1" customWidth="1"/>
    <col min="13" max="14" width="9.7109375" style="460" customWidth="1"/>
    <col min="15" max="16384" width="9.140625" style="460"/>
  </cols>
  <sheetData>
    <row r="2" spans="1:14" ht="18" x14ac:dyDescent="0.35">
      <c r="A2" s="636" t="s">
        <v>235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</row>
    <row r="3" spans="1:14" ht="18" x14ac:dyDescent="0.35">
      <c r="A3" s="636" t="s">
        <v>135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</row>
    <row r="4" spans="1:14" ht="8.25" customHeight="1" x14ac:dyDescent="0.25"/>
    <row r="5" spans="1:14" ht="8.25" customHeight="1" x14ac:dyDescent="0.25"/>
    <row r="6" spans="1:14" ht="15.75" x14ac:dyDescent="0.25">
      <c r="A6" s="639" t="s">
        <v>211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</row>
    <row r="7" spans="1:14" ht="24" x14ac:dyDescent="0.25">
      <c r="A7" s="461" t="s">
        <v>12</v>
      </c>
      <c r="B7" s="462" t="s">
        <v>13</v>
      </c>
      <c r="C7" s="461" t="s">
        <v>260</v>
      </c>
      <c r="D7" s="463" t="s">
        <v>1</v>
      </c>
      <c r="E7" s="461" t="s">
        <v>261</v>
      </c>
      <c r="F7" s="463" t="s">
        <v>1</v>
      </c>
      <c r="G7" s="461" t="s">
        <v>2</v>
      </c>
      <c r="H7" s="463" t="s">
        <v>1</v>
      </c>
      <c r="I7" s="461" t="s">
        <v>3</v>
      </c>
      <c r="J7" s="463" t="s">
        <v>1</v>
      </c>
      <c r="K7" s="461" t="s">
        <v>4</v>
      </c>
      <c r="L7" s="463" t="s">
        <v>1</v>
      </c>
      <c r="M7" s="461" t="s">
        <v>5</v>
      </c>
      <c r="N7" s="463" t="s">
        <v>1</v>
      </c>
    </row>
    <row r="8" spans="1:14" x14ac:dyDescent="0.25">
      <c r="A8" s="464" t="str">
        <f>'UBS Vila Dalva'!A7</f>
        <v>ACS</v>
      </c>
      <c r="B8" s="465">
        <f>'UBS Vila Dalva'!B7</f>
        <v>6720</v>
      </c>
      <c r="C8" s="466">
        <f>'UBS Vila Dalva'!C7</f>
        <v>4709</v>
      </c>
      <c r="D8" s="467">
        <f>'UBS Vila Dalva'!D7</f>
        <v>-0.29925595238095237</v>
      </c>
      <c r="E8" s="466">
        <f>'UBS Vila Dalva'!E7</f>
        <v>3946</v>
      </c>
      <c r="F8" s="467">
        <f>'UBS Vila Dalva'!F7</f>
        <v>-0.41279761904761902</v>
      </c>
      <c r="G8" s="466">
        <f>'UBS Vila Dalva'!G7</f>
        <v>3292</v>
      </c>
      <c r="H8" s="467">
        <f>'UBS Vila Dalva'!H7</f>
        <v>-0.51011904761904758</v>
      </c>
      <c r="I8" s="466">
        <f>'UBS Vila Dalva'!K7</f>
        <v>3292</v>
      </c>
      <c r="J8" s="467">
        <f>'UBS Vila Dalva'!L7</f>
        <v>-0.51011904761904758</v>
      </c>
      <c r="K8" s="466">
        <f>'UBS Vila Dalva'!M7</f>
        <v>4059</v>
      </c>
      <c r="L8" s="467">
        <f>'UBS Vila Dalva'!N7</f>
        <v>-0.39598214285714284</v>
      </c>
      <c r="M8" s="466">
        <f>'UBS Vila Dalva'!O7</f>
        <v>4614</v>
      </c>
      <c r="N8" s="467">
        <f>'UBS Vila Dalva'!P7</f>
        <v>-0.31339285714285714</v>
      </c>
    </row>
    <row r="9" spans="1:14" x14ac:dyDescent="0.25">
      <c r="A9" s="464" t="str">
        <f>'UBS Vila Dalva'!A8</f>
        <v>Médico Generalista</v>
      </c>
      <c r="B9" s="465">
        <f>'UBS Vila Dalva'!B8</f>
        <v>2080</v>
      </c>
      <c r="C9" s="466">
        <f>'UBS Vila Dalva'!C8</f>
        <v>1162</v>
      </c>
      <c r="D9" s="467">
        <f>'UBS Vila Dalva'!D8</f>
        <v>-0.44134615384615383</v>
      </c>
      <c r="E9" s="466">
        <f>'UBS Vila Dalva'!E8</f>
        <v>1824</v>
      </c>
      <c r="F9" s="467">
        <f>'UBS Vila Dalva'!F8</f>
        <v>-0.12307692307692308</v>
      </c>
      <c r="G9" s="466">
        <f>'UBS Vila Dalva'!G8</f>
        <v>1746</v>
      </c>
      <c r="H9" s="467">
        <f>'UBS Vila Dalva'!H8</f>
        <v>-0.16057692307692306</v>
      </c>
      <c r="I9" s="466">
        <f>'UBS Vila Dalva'!K8</f>
        <v>1570</v>
      </c>
      <c r="J9" s="467">
        <f>'UBS Vila Dalva'!L8</f>
        <v>-0.24519230769230771</v>
      </c>
      <c r="K9" s="466">
        <f>'UBS Vila Dalva'!M8</f>
        <v>1489</v>
      </c>
      <c r="L9" s="467">
        <f>'UBS Vila Dalva'!N8</f>
        <v>-0.28413461538461537</v>
      </c>
      <c r="M9" s="466">
        <f>'UBS Vila Dalva'!O8</f>
        <v>1186</v>
      </c>
      <c r="N9" s="467">
        <f>'UBS Vila Dalva'!P8</f>
        <v>-0.42980769230769234</v>
      </c>
    </row>
    <row r="10" spans="1:14" x14ac:dyDescent="0.25">
      <c r="A10" s="464" t="str">
        <f>'UBS Vila Dalva'!A9</f>
        <v>Enfermeiro - ESF</v>
      </c>
      <c r="B10" s="465">
        <f>'UBS Vila Dalva'!B9</f>
        <v>780</v>
      </c>
      <c r="C10" s="466">
        <f>'UBS Vila Dalva'!C9</f>
        <v>1217</v>
      </c>
      <c r="D10" s="467">
        <f>'UBS Vila Dalva'!D9</f>
        <v>0.56025641025641026</v>
      </c>
      <c r="E10" s="466">
        <f>'UBS Vila Dalva'!E9</f>
        <v>1165</v>
      </c>
      <c r="F10" s="467">
        <f>'UBS Vila Dalva'!F9</f>
        <v>0.49358974358974361</v>
      </c>
      <c r="G10" s="466">
        <f>'UBS Vila Dalva'!G9</f>
        <v>1118</v>
      </c>
      <c r="H10" s="467">
        <f>'UBS Vila Dalva'!H9</f>
        <v>0.43333333333333335</v>
      </c>
      <c r="I10" s="466">
        <f>'UBS Vila Dalva'!K9</f>
        <v>600</v>
      </c>
      <c r="J10" s="467">
        <f>'UBS Vila Dalva'!L9</f>
        <v>-0.23076923076923073</v>
      </c>
      <c r="K10" s="466">
        <f>'UBS Vila Dalva'!M9</f>
        <v>749</v>
      </c>
      <c r="L10" s="467">
        <f>'UBS Vila Dalva'!N9</f>
        <v>-3.9743589743589713E-2</v>
      </c>
      <c r="M10" s="466">
        <f>'UBS Vila Dalva'!O9</f>
        <v>517</v>
      </c>
      <c r="N10" s="467">
        <f>'UBS Vila Dalva'!P9</f>
        <v>-0.3371794871794872</v>
      </c>
    </row>
    <row r="11" spans="1:14" ht="24" x14ac:dyDescent="0.25">
      <c r="A11" s="464" t="str">
        <f>'UBS Vila Dalva'!A10</f>
        <v>Cirurgião Dentista - ESB II (atendimento individual)</v>
      </c>
      <c r="B11" s="465">
        <f>'UBS Vila Dalva'!B10</f>
        <v>416</v>
      </c>
      <c r="C11" s="466">
        <f>'UBS Vila Dalva'!C10</f>
        <v>142</v>
      </c>
      <c r="D11" s="467">
        <f>'UBS Vila Dalva'!D10</f>
        <v>-0.65865384615384615</v>
      </c>
      <c r="E11" s="466">
        <f>'UBS Vila Dalva'!E10</f>
        <v>234</v>
      </c>
      <c r="F11" s="467">
        <f>'UBS Vila Dalva'!F10</f>
        <v>-0.4375</v>
      </c>
      <c r="G11" s="466">
        <f>'UBS Vila Dalva'!G10</f>
        <v>402</v>
      </c>
      <c r="H11" s="467">
        <f>'UBS Vila Dalva'!H10</f>
        <v>-3.3653846153846145E-2</v>
      </c>
      <c r="I11" s="466">
        <f>'UBS Vila Dalva'!K10</f>
        <v>199</v>
      </c>
      <c r="J11" s="467">
        <f>'UBS Vila Dalva'!L10</f>
        <v>-0.52163461538461542</v>
      </c>
      <c r="K11" s="466">
        <f>'UBS Vila Dalva'!M10</f>
        <v>41</v>
      </c>
      <c r="L11" s="467">
        <f>'UBS Vila Dalva'!N10</f>
        <v>-0.90144230769230771</v>
      </c>
      <c r="M11" s="466">
        <f>'UBS Vila Dalva'!O10</f>
        <v>10</v>
      </c>
      <c r="N11" s="467">
        <f>'UBS Vila Dalva'!P10</f>
        <v>-0.97596153846153844</v>
      </c>
    </row>
    <row r="12" spans="1:14" ht="24" x14ac:dyDescent="0.25">
      <c r="A12" s="464" t="str">
        <f>'UBS Vila Dalva'!A11</f>
        <v>Cirurgião Dentista - ESB II (procedimento)</v>
      </c>
      <c r="B12" s="465">
        <f>'UBS Vila Dalva'!B11</f>
        <v>2496</v>
      </c>
      <c r="C12" s="466">
        <f>'UBS Vila Dalva'!C11</f>
        <v>590</v>
      </c>
      <c r="D12" s="467">
        <f>'UBS Vila Dalva'!D11</f>
        <v>-0.76362179487179493</v>
      </c>
      <c r="E12" s="466">
        <f>'UBS Vila Dalva'!E11</f>
        <v>939</v>
      </c>
      <c r="F12" s="467">
        <f>'UBS Vila Dalva'!F11</f>
        <v>-0.62379807692307687</v>
      </c>
      <c r="G12" s="466">
        <f>'UBS Vila Dalva'!G11</f>
        <v>1916</v>
      </c>
      <c r="H12" s="467">
        <f>'UBS Vila Dalva'!H11</f>
        <v>-0.23237179487179482</v>
      </c>
      <c r="I12" s="466">
        <f>'UBS Vila Dalva'!K11</f>
        <v>750</v>
      </c>
      <c r="J12" s="467">
        <f>'UBS Vila Dalva'!L11</f>
        <v>-0.69951923076923084</v>
      </c>
      <c r="K12" s="466">
        <f>'UBS Vila Dalva'!M11</f>
        <v>92</v>
      </c>
      <c r="L12" s="467">
        <f>'UBS Vila Dalva'!N11</f>
        <v>-0.96314102564102566</v>
      </c>
      <c r="M12" s="466">
        <f>'UBS Vila Dalva'!O11</f>
        <v>7</v>
      </c>
      <c r="N12" s="467">
        <f>'UBS Vila Dalva'!P11</f>
        <v>-0.99719551282051277</v>
      </c>
    </row>
    <row r="13" spans="1:14" x14ac:dyDescent="0.25">
      <c r="A13" s="468" t="str">
        <f>'UBS Vila Dalva'!A12</f>
        <v>Clínico Geral (consulta)</v>
      </c>
      <c r="B13" s="469">
        <f>'UBS Vila Dalva'!B12</f>
        <v>263</v>
      </c>
      <c r="C13" s="470">
        <f>'UBS Vila Dalva'!C12</f>
        <v>104</v>
      </c>
      <c r="D13" s="471">
        <f>'UBS Vila Dalva'!D12</f>
        <v>-0.6045627376425855</v>
      </c>
      <c r="E13" s="470">
        <f>'UBS Vila Dalva'!E12</f>
        <v>0</v>
      </c>
      <c r="F13" s="471">
        <f>'UBS Vila Dalva'!F12</f>
        <v>-1</v>
      </c>
      <c r="G13" s="470">
        <f>'UBS Vila Dalva'!G12</f>
        <v>154</v>
      </c>
      <c r="H13" s="471">
        <f>'UBS Vila Dalva'!H12</f>
        <v>-0.4144486692015209</v>
      </c>
      <c r="I13" s="470">
        <f>'UBS Vila Dalva'!K12</f>
        <v>141</v>
      </c>
      <c r="J13" s="471">
        <f>'UBS Vila Dalva'!L12</f>
        <v>-0.46387832699619769</v>
      </c>
      <c r="K13" s="470">
        <f>'UBS Vila Dalva'!M12</f>
        <v>190</v>
      </c>
      <c r="L13" s="471">
        <f>'UBS Vila Dalva'!N12</f>
        <v>-0.27756653992395441</v>
      </c>
      <c r="M13" s="470">
        <f>'UBS Vila Dalva'!O12</f>
        <v>145</v>
      </c>
      <c r="N13" s="471">
        <f>'UBS Vila Dalva'!P12</f>
        <v>-0.4486692015209125</v>
      </c>
    </row>
    <row r="14" spans="1:14" x14ac:dyDescent="0.25">
      <c r="A14" s="468" t="str">
        <f>'UBS Vila Dalva'!A13</f>
        <v>Pediatra (consulta)</v>
      </c>
      <c r="B14" s="469">
        <f>'UBS Vila Dalva'!B13</f>
        <v>526</v>
      </c>
      <c r="C14" s="470">
        <f>'UBS Vila Dalva'!C13</f>
        <v>98</v>
      </c>
      <c r="D14" s="471">
        <f>'UBS Vila Dalva'!D13</f>
        <v>-0.81368821292775662</v>
      </c>
      <c r="E14" s="470">
        <f>'UBS Vila Dalva'!E13</f>
        <v>130</v>
      </c>
      <c r="F14" s="471">
        <f>'UBS Vila Dalva'!F13</f>
        <v>-0.75285171102661597</v>
      </c>
      <c r="G14" s="470">
        <f>'UBS Vila Dalva'!G13</f>
        <v>130</v>
      </c>
      <c r="H14" s="471">
        <f>'UBS Vila Dalva'!H13</f>
        <v>-0.75285171102661597</v>
      </c>
      <c r="I14" s="470">
        <f>'UBS Vila Dalva'!K13</f>
        <v>121</v>
      </c>
      <c r="J14" s="471">
        <f>'UBS Vila Dalva'!L13</f>
        <v>-0.76996197718631176</v>
      </c>
      <c r="K14" s="470">
        <f>'UBS Vila Dalva'!M13</f>
        <v>101</v>
      </c>
      <c r="L14" s="471">
        <f>'UBS Vila Dalva'!N13</f>
        <v>-0.80798479087452468</v>
      </c>
      <c r="M14" s="470">
        <f>'UBS Vila Dalva'!O13</f>
        <v>2</v>
      </c>
      <c r="N14" s="471">
        <f>'UBS Vila Dalva'!P13</f>
        <v>-0.99619771863117867</v>
      </c>
    </row>
    <row r="15" spans="1:14" x14ac:dyDescent="0.25">
      <c r="A15" s="464" t="str">
        <f>'UBS Vila Dalva'!A14</f>
        <v>Psiquiatra (consulta)</v>
      </c>
      <c r="B15" s="465">
        <f>'UBS Vila Dalva'!B14</f>
        <v>166</v>
      </c>
      <c r="C15" s="466">
        <f>'UBS Vila Dalva'!C14</f>
        <v>66</v>
      </c>
      <c r="D15" s="467">
        <f>'UBS Vila Dalva'!D14</f>
        <v>-0.60240963855421681</v>
      </c>
      <c r="E15" s="466">
        <f>'UBS Vila Dalva'!E14</f>
        <v>62</v>
      </c>
      <c r="F15" s="467">
        <f>'UBS Vila Dalva'!F14</f>
        <v>-0.62650602409638556</v>
      </c>
      <c r="G15" s="466">
        <f>'UBS Vila Dalva'!G14</f>
        <v>57</v>
      </c>
      <c r="H15" s="467">
        <f>'UBS Vila Dalva'!H14</f>
        <v>-0.65662650602409633</v>
      </c>
      <c r="I15" s="466">
        <f>'UBS Vila Dalva'!K14</f>
        <v>166</v>
      </c>
      <c r="J15" s="467">
        <f>'UBS Vila Dalva'!L14</f>
        <v>0</v>
      </c>
      <c r="K15" s="466">
        <f>'UBS Vila Dalva'!M14</f>
        <v>156</v>
      </c>
      <c r="L15" s="467">
        <f>'UBS Vila Dalva'!N14</f>
        <v>-6.0240963855421659E-2</v>
      </c>
      <c r="M15" s="466">
        <f>'UBS Vila Dalva'!O14</f>
        <v>186</v>
      </c>
      <c r="N15" s="467">
        <f>'UBS Vila Dalva'!P14</f>
        <v>0.12048192771084332</v>
      </c>
    </row>
    <row r="16" spans="1:14" x14ac:dyDescent="0.25">
      <c r="A16" s="472" t="str">
        <f>'UBS Vila Dalva'!A15</f>
        <v>SOMA</v>
      </c>
      <c r="B16" s="465">
        <f>'UBS Vila Dalva'!B15</f>
        <v>13447</v>
      </c>
      <c r="C16" s="473">
        <f>'UBS Vila Dalva'!C15</f>
        <v>8088</v>
      </c>
      <c r="D16" s="467">
        <f>'UBS Vila Dalva'!D15</f>
        <v>-0.39852755261396589</v>
      </c>
      <c r="E16" s="473">
        <f>'UBS Vila Dalva'!E15</f>
        <v>8300</v>
      </c>
      <c r="F16" s="467">
        <f>'UBS Vila Dalva'!F15</f>
        <v>-0.38276195433925786</v>
      </c>
      <c r="G16" s="473">
        <f>'UBS Vila Dalva'!G15</f>
        <v>8815</v>
      </c>
      <c r="H16" s="467">
        <f>'UBS Vila Dalva'!H15</f>
        <v>-0.34446344909645277</v>
      </c>
      <c r="I16" s="473">
        <f>'UBS Vila Dalva'!K15</f>
        <v>6839</v>
      </c>
      <c r="J16" s="467">
        <f>'UBS Vila Dalva'!L15</f>
        <v>-0.49141072358146798</v>
      </c>
      <c r="K16" s="473">
        <f>'UBS Vila Dalva'!M15</f>
        <v>6877</v>
      </c>
      <c r="L16" s="467">
        <f>'UBS Vila Dalva'!N15</f>
        <v>-0.48858481445675617</v>
      </c>
      <c r="M16" s="473">
        <f>'UBS Vila Dalva'!O15</f>
        <v>6667</v>
      </c>
      <c r="N16" s="467">
        <f>'UBS Vila Dalva'!P15</f>
        <v>-0.50420168067226889</v>
      </c>
    </row>
    <row r="18" spans="1:14" ht="15.75" x14ac:dyDescent="0.25">
      <c r="A18" s="627" t="s">
        <v>214</v>
      </c>
      <c r="B18" s="628"/>
      <c r="C18" s="628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</row>
    <row r="19" spans="1:14" ht="24" x14ac:dyDescent="0.25">
      <c r="A19" s="474" t="s">
        <v>12</v>
      </c>
      <c r="B19" s="462" t="s">
        <v>13</v>
      </c>
      <c r="C19" s="461" t="s">
        <v>260</v>
      </c>
      <c r="D19" s="463" t="s">
        <v>1</v>
      </c>
      <c r="E19" s="461" t="s">
        <v>261</v>
      </c>
      <c r="F19" s="463" t="s">
        <v>1</v>
      </c>
      <c r="G19" s="461" t="s">
        <v>2</v>
      </c>
      <c r="H19" s="463" t="s">
        <v>1</v>
      </c>
      <c r="I19" s="461" t="s">
        <v>3</v>
      </c>
      <c r="J19" s="463" t="s">
        <v>1</v>
      </c>
      <c r="K19" s="461" t="s">
        <v>4</v>
      </c>
      <c r="L19" s="463" t="s">
        <v>1</v>
      </c>
      <c r="M19" s="461" t="s">
        <v>5</v>
      </c>
      <c r="N19" s="463" t="s">
        <v>1</v>
      </c>
    </row>
    <row r="20" spans="1:14" x14ac:dyDescent="0.25">
      <c r="A20" s="475" t="str">
        <f>'UBS Jardim Boa Vista'!A7</f>
        <v>ACS</v>
      </c>
      <c r="B20" s="465">
        <f>'UBS Jardim Boa Vista'!B7</f>
        <v>7200</v>
      </c>
      <c r="C20" s="466">
        <f>'UBS Jardim Boa Vista'!C7</f>
        <v>6223</v>
      </c>
      <c r="D20" s="467">
        <f>'UBS Jardim Boa Vista'!D7</f>
        <v>-0.13569444444444445</v>
      </c>
      <c r="E20" s="466">
        <f>'UBS Jardim Boa Vista'!E7</f>
        <v>6629</v>
      </c>
      <c r="F20" s="467">
        <f>'UBS Jardim Boa Vista'!F7</f>
        <v>-7.9305555555555518E-2</v>
      </c>
      <c r="G20" s="466">
        <f>'UBS Jardim Boa Vista'!G7</f>
        <v>6025</v>
      </c>
      <c r="H20" s="467">
        <f>'UBS Jardim Boa Vista'!H7</f>
        <v>-0.16319444444444442</v>
      </c>
      <c r="I20" s="466">
        <f>'UBS Jardim Boa Vista'!K7</f>
        <v>6658</v>
      </c>
      <c r="J20" s="467">
        <f>'UBS Jardim Boa Vista'!L7</f>
        <v>-7.5277777777777777E-2</v>
      </c>
      <c r="K20" s="466">
        <f>'UBS Jardim Boa Vista'!M7</f>
        <v>6672</v>
      </c>
      <c r="L20" s="467">
        <f>'UBS Jardim Boa Vista'!N7</f>
        <v>-7.3333333333333361E-2</v>
      </c>
      <c r="M20" s="466">
        <f>'UBS Jardim Boa Vista'!O7</f>
        <v>6627</v>
      </c>
      <c r="N20" s="467">
        <f>'UBS Jardim Boa Vista'!P7</f>
        <v>-7.9583333333333339E-2</v>
      </c>
    </row>
    <row r="21" spans="1:14" x14ac:dyDescent="0.25">
      <c r="A21" s="475" t="str">
        <f>'UBS Jardim Boa Vista'!A8</f>
        <v>Médico Generalista</v>
      </c>
      <c r="B21" s="465">
        <f>'UBS Jardim Boa Vista'!B8</f>
        <v>2496</v>
      </c>
      <c r="C21" s="466">
        <f>'UBS Jardim Boa Vista'!C8</f>
        <v>2274</v>
      </c>
      <c r="D21" s="467">
        <f>'UBS Jardim Boa Vista'!D8</f>
        <v>-8.8942307692307709E-2</v>
      </c>
      <c r="E21" s="466">
        <f>'UBS Jardim Boa Vista'!E8</f>
        <v>2859</v>
      </c>
      <c r="F21" s="467">
        <f>'UBS Jardim Boa Vista'!F8</f>
        <v>0.14543269230769229</v>
      </c>
      <c r="G21" s="466">
        <f>'UBS Jardim Boa Vista'!G8</f>
        <v>1750</v>
      </c>
      <c r="H21" s="467">
        <f>'UBS Jardim Boa Vista'!H8</f>
        <v>-0.29887820512820518</v>
      </c>
      <c r="I21" s="466">
        <f>'UBS Jardim Boa Vista'!K8</f>
        <v>2625</v>
      </c>
      <c r="J21" s="467">
        <f>'UBS Jardim Boa Vista'!L8</f>
        <v>5.1682692307692291E-2</v>
      </c>
      <c r="K21" s="466">
        <f>'UBS Jardim Boa Vista'!M8</f>
        <v>2551</v>
      </c>
      <c r="L21" s="467">
        <f>'UBS Jardim Boa Vista'!N8</f>
        <v>2.2035256410256387E-2</v>
      </c>
      <c r="M21" s="466">
        <f>'UBS Jardim Boa Vista'!O8</f>
        <v>2316</v>
      </c>
      <c r="N21" s="467">
        <f>'UBS Jardim Boa Vista'!P8</f>
        <v>-7.2115384615384581E-2</v>
      </c>
    </row>
    <row r="22" spans="1:14" x14ac:dyDescent="0.25">
      <c r="A22" s="475" t="str">
        <f>'UBS Jardim Boa Vista'!A9</f>
        <v>Enfermeiro - ESF</v>
      </c>
      <c r="B22" s="465">
        <f>'UBS Jardim Boa Vista'!B9</f>
        <v>936</v>
      </c>
      <c r="C22" s="466">
        <f>'UBS Jardim Boa Vista'!C9</f>
        <v>1484</v>
      </c>
      <c r="D22" s="467">
        <f>'UBS Jardim Boa Vista'!D9</f>
        <v>0.58547008547008539</v>
      </c>
      <c r="E22" s="466">
        <f>'UBS Jardim Boa Vista'!E9</f>
        <v>1736</v>
      </c>
      <c r="F22" s="467">
        <f>'UBS Jardim Boa Vista'!F9</f>
        <v>0.85470085470085477</v>
      </c>
      <c r="G22" s="466">
        <f>'UBS Jardim Boa Vista'!G9</f>
        <v>1485</v>
      </c>
      <c r="H22" s="467">
        <f>'UBS Jardim Boa Vista'!H9</f>
        <v>0.58653846153846145</v>
      </c>
      <c r="I22" s="466">
        <f>'UBS Jardim Boa Vista'!K9</f>
        <v>1182</v>
      </c>
      <c r="J22" s="467">
        <f>'UBS Jardim Boa Vista'!L9</f>
        <v>0.26282051282051277</v>
      </c>
      <c r="K22" s="466">
        <f>'UBS Jardim Boa Vista'!M9</f>
        <v>1242</v>
      </c>
      <c r="L22" s="467">
        <f>'UBS Jardim Boa Vista'!N9</f>
        <v>0.32692307692307687</v>
      </c>
      <c r="M22" s="466">
        <f>'UBS Jardim Boa Vista'!O9</f>
        <v>1105</v>
      </c>
      <c r="N22" s="467">
        <f>'UBS Jardim Boa Vista'!P9</f>
        <v>0.18055555555555558</v>
      </c>
    </row>
    <row r="23" spans="1:14" ht="24" x14ac:dyDescent="0.25">
      <c r="A23" s="464" t="str">
        <f>'UBS Jardim Boa Vista'!A10</f>
        <v>Cirurgião Dentista - ESF I (atendimento individual)</v>
      </c>
      <c r="B23" s="465">
        <f>'UBS Jardim Boa Vista'!B10</f>
        <v>416</v>
      </c>
      <c r="C23" s="466">
        <f>'UBS Jardim Boa Vista'!C10</f>
        <v>451</v>
      </c>
      <c r="D23" s="467">
        <f>'UBS Jardim Boa Vista'!D10</f>
        <v>8.4134615384615419E-2</v>
      </c>
      <c r="E23" s="466">
        <f>'UBS Jardim Boa Vista'!E10</f>
        <v>505</v>
      </c>
      <c r="F23" s="467">
        <f>'UBS Jardim Boa Vista'!F10</f>
        <v>0.21394230769230771</v>
      </c>
      <c r="G23" s="466">
        <f>'UBS Jardim Boa Vista'!G10</f>
        <v>432</v>
      </c>
      <c r="H23" s="467">
        <f>'UBS Jardim Boa Vista'!H10</f>
        <v>3.8461538461538547E-2</v>
      </c>
      <c r="I23" s="466">
        <f>'UBS Jardim Boa Vista'!K10</f>
        <v>416</v>
      </c>
      <c r="J23" s="467">
        <f>'UBS Jardim Boa Vista'!L10</f>
        <v>0</v>
      </c>
      <c r="K23" s="466">
        <f>'UBS Jardim Boa Vista'!M10</f>
        <v>101</v>
      </c>
      <c r="L23" s="467">
        <f>'UBS Jardim Boa Vista'!N10</f>
        <v>-0.75721153846153844</v>
      </c>
      <c r="M23" s="466">
        <f>'UBS Jardim Boa Vista'!O10</f>
        <v>73</v>
      </c>
      <c r="N23" s="467">
        <f>'UBS Jardim Boa Vista'!P10</f>
        <v>-0.82451923076923084</v>
      </c>
    </row>
    <row r="24" spans="1:14" ht="24" x14ac:dyDescent="0.25">
      <c r="A24" s="464" t="str">
        <f>'UBS Jardim Boa Vista'!A11</f>
        <v>Cirurgião Dentista - ESF I (procedimento)</v>
      </c>
      <c r="B24" s="465">
        <f>'UBS Jardim Boa Vista'!B11</f>
        <v>1664</v>
      </c>
      <c r="C24" s="466">
        <f>'UBS Jardim Boa Vista'!C11</f>
        <v>919</v>
      </c>
      <c r="D24" s="467">
        <f>'UBS Jardim Boa Vista'!D11</f>
        <v>-0.44771634615384615</v>
      </c>
      <c r="E24" s="466">
        <f>'UBS Jardim Boa Vista'!E11</f>
        <v>1257</v>
      </c>
      <c r="F24" s="467">
        <f>'UBS Jardim Boa Vista'!F11</f>
        <v>-0.24459134615384615</v>
      </c>
      <c r="G24" s="466">
        <f>'UBS Jardim Boa Vista'!G11</f>
        <v>1296</v>
      </c>
      <c r="H24" s="467">
        <f>'UBS Jardim Boa Vista'!H11</f>
        <v>-0.22115384615384615</v>
      </c>
      <c r="I24" s="466">
        <f>'UBS Jardim Boa Vista'!K11</f>
        <v>1175</v>
      </c>
      <c r="J24" s="467">
        <f>'UBS Jardim Boa Vista'!L11</f>
        <v>-0.29387019230769229</v>
      </c>
      <c r="K24" s="466">
        <f>'UBS Jardim Boa Vista'!M11</f>
        <v>64</v>
      </c>
      <c r="L24" s="467">
        <f>'UBS Jardim Boa Vista'!N11</f>
        <v>-0.96153846153846156</v>
      </c>
      <c r="M24" s="466">
        <f>'UBS Jardim Boa Vista'!O11</f>
        <v>200</v>
      </c>
      <c r="N24" s="467">
        <f>'UBS Jardim Boa Vista'!P11</f>
        <v>-0.87980769230769229</v>
      </c>
    </row>
    <row r="25" spans="1:14" ht="24" x14ac:dyDescent="0.25">
      <c r="A25" s="464" t="str">
        <f>'UBS Jardim Boa Vista'!A12</f>
        <v>Cirurgião Dentista (atendimento individual)</v>
      </c>
      <c r="B25" s="465">
        <f>'UBS Jardim Boa Vista'!B12</f>
        <v>111</v>
      </c>
      <c r="C25" s="466">
        <f>'UBS Jardim Boa Vista'!C12</f>
        <v>109</v>
      </c>
      <c r="D25" s="467">
        <f>'UBS Jardim Boa Vista'!D12</f>
        <v>-1.8018018018018056E-2</v>
      </c>
      <c r="E25" s="466">
        <f>'UBS Jardim Boa Vista'!E12</f>
        <v>100</v>
      </c>
      <c r="F25" s="467">
        <f>'UBS Jardim Boa Vista'!F12</f>
        <v>-9.9099099099099086E-2</v>
      </c>
      <c r="G25" s="466">
        <f>'UBS Jardim Boa Vista'!G12</f>
        <v>71</v>
      </c>
      <c r="H25" s="467">
        <f>'UBS Jardim Boa Vista'!H12</f>
        <v>-0.36036036036036034</v>
      </c>
      <c r="I25" s="466">
        <f>'UBS Jardim Boa Vista'!K12</f>
        <v>98</v>
      </c>
      <c r="J25" s="467">
        <f>'UBS Jardim Boa Vista'!L12</f>
        <v>-0.11711711711711714</v>
      </c>
      <c r="K25" s="466">
        <f>'UBS Jardim Boa Vista'!M12</f>
        <v>7</v>
      </c>
      <c r="L25" s="467">
        <f>'UBS Jardim Boa Vista'!N12</f>
        <v>-0.93693693693693691</v>
      </c>
      <c r="M25" s="466">
        <f>'UBS Jardim Boa Vista'!O12</f>
        <v>200</v>
      </c>
      <c r="N25" s="467">
        <f>'UBS Jardim Boa Vista'!P12</f>
        <v>0.80180180180180183</v>
      </c>
    </row>
    <row r="26" spans="1:14" ht="24" x14ac:dyDescent="0.25">
      <c r="A26" s="464" t="str">
        <f>'UBS Jardim Boa Vista'!A13</f>
        <v>Cirurgião Dentista (procedimento)</v>
      </c>
      <c r="B26" s="465">
        <f>'UBS Jardim Boa Vista'!B13</f>
        <v>444</v>
      </c>
      <c r="C26" s="466">
        <f>'UBS Jardim Boa Vista'!C13</f>
        <v>110</v>
      </c>
      <c r="D26" s="467">
        <f>'UBS Jardim Boa Vista'!D13</f>
        <v>-0.75225225225225223</v>
      </c>
      <c r="E26" s="466">
        <f>'UBS Jardim Boa Vista'!E13</f>
        <v>173</v>
      </c>
      <c r="F26" s="467">
        <f>'UBS Jardim Boa Vista'!F13</f>
        <v>-0.61036036036036034</v>
      </c>
      <c r="G26" s="466">
        <f>'UBS Jardim Boa Vista'!G13</f>
        <v>106</v>
      </c>
      <c r="H26" s="467">
        <f>'UBS Jardim Boa Vista'!H13</f>
        <v>-0.76126126126126126</v>
      </c>
      <c r="I26" s="466">
        <f>'UBS Jardim Boa Vista'!K13</f>
        <v>642</v>
      </c>
      <c r="J26" s="467">
        <f>'UBS Jardim Boa Vista'!L13</f>
        <v>0.44594594594594605</v>
      </c>
      <c r="K26" s="466">
        <f>'UBS Jardim Boa Vista'!M13</f>
        <v>79</v>
      </c>
      <c r="L26" s="467">
        <f>'UBS Jardim Boa Vista'!N13</f>
        <v>-0.82207207207207211</v>
      </c>
      <c r="M26" s="466">
        <f>'UBS Jardim Boa Vista'!O13</f>
        <v>17</v>
      </c>
      <c r="N26" s="467">
        <f>'UBS Jardim Boa Vista'!P13</f>
        <v>-0.96171171171171177</v>
      </c>
    </row>
    <row r="27" spans="1:14" x14ac:dyDescent="0.25">
      <c r="A27" s="475" t="str">
        <f>'UBS Jardim Boa Vista'!A14</f>
        <v>Pediatra</v>
      </c>
      <c r="B27" s="465">
        <f>'UBS Jardim Boa Vista'!B14</f>
        <v>263</v>
      </c>
      <c r="C27" s="466">
        <f>'UBS Jardim Boa Vista'!C14</f>
        <v>175</v>
      </c>
      <c r="D27" s="467">
        <f>'UBS Jardim Boa Vista'!D14</f>
        <v>-0.33460076045627374</v>
      </c>
      <c r="E27" s="466">
        <f>'UBS Jardim Boa Vista'!E14</f>
        <v>62</v>
      </c>
      <c r="F27" s="467">
        <f>'UBS Jardim Boa Vista'!F14</f>
        <v>-0.76425855513307983</v>
      </c>
      <c r="G27" s="466">
        <f>'UBS Jardim Boa Vista'!G14</f>
        <v>0</v>
      </c>
      <c r="H27" s="467">
        <f>'UBS Jardim Boa Vista'!H14</f>
        <v>-1</v>
      </c>
      <c r="I27" s="466">
        <f>'UBS Jardim Boa Vista'!K14</f>
        <v>0</v>
      </c>
      <c r="J27" s="467">
        <f>'UBS Jardim Boa Vista'!L14</f>
        <v>-1</v>
      </c>
      <c r="K27" s="466">
        <f>'UBS Jardim Boa Vista'!M14</f>
        <v>0</v>
      </c>
      <c r="L27" s="467">
        <f>'UBS Jardim Boa Vista'!N14</f>
        <v>-1</v>
      </c>
      <c r="M27" s="466">
        <f>'UBS Jardim Boa Vista'!O14</f>
        <v>21</v>
      </c>
      <c r="N27" s="467">
        <f>'UBS Jardim Boa Vista'!P14</f>
        <v>-0.92015209125475284</v>
      </c>
    </row>
    <row r="28" spans="1:14" x14ac:dyDescent="0.25">
      <c r="A28" s="475" t="str">
        <f>'UBS Jardim Boa Vista'!A15</f>
        <v>Psiquiatra</v>
      </c>
      <c r="B28" s="465">
        <f>'UBS Jardim Boa Vista'!B15</f>
        <v>166</v>
      </c>
      <c r="C28" s="466">
        <f>'UBS Jardim Boa Vista'!C15</f>
        <v>26</v>
      </c>
      <c r="D28" s="467">
        <f>'UBS Jardim Boa Vista'!D15</f>
        <v>-0.84337349397590367</v>
      </c>
      <c r="E28" s="466">
        <f>'UBS Jardim Boa Vista'!E15</f>
        <v>142</v>
      </c>
      <c r="F28" s="467">
        <f>'UBS Jardim Boa Vista'!F15</f>
        <v>-0.14457831325301207</v>
      </c>
      <c r="G28" s="466">
        <f>'UBS Jardim Boa Vista'!G15</f>
        <v>131</v>
      </c>
      <c r="H28" s="467">
        <f>'UBS Jardim Boa Vista'!H15</f>
        <v>-0.21084337349397586</v>
      </c>
      <c r="I28" s="466">
        <f>'UBS Jardim Boa Vista'!K15</f>
        <v>88</v>
      </c>
      <c r="J28" s="467">
        <f>'UBS Jardim Boa Vista'!L15</f>
        <v>-0.46987951807228912</v>
      </c>
      <c r="K28" s="466">
        <f>'UBS Jardim Boa Vista'!M15</f>
        <v>99</v>
      </c>
      <c r="L28" s="467">
        <f>'UBS Jardim Boa Vista'!N15</f>
        <v>-0.40361445783132532</v>
      </c>
      <c r="M28" s="466">
        <f>'UBS Jardim Boa Vista'!O15</f>
        <v>79</v>
      </c>
      <c r="N28" s="467">
        <f>'UBS Jardim Boa Vista'!P15</f>
        <v>-0.52409638554216875</v>
      </c>
    </row>
    <row r="29" spans="1:14" x14ac:dyDescent="0.25">
      <c r="A29" s="476" t="str">
        <f>'UBS Jardim Boa Vista'!A16</f>
        <v>SOMA</v>
      </c>
      <c r="B29" s="465">
        <f>'UBS Jardim Boa Vista'!B16</f>
        <v>13696</v>
      </c>
      <c r="C29" s="473">
        <f>'UBS Jardim Boa Vista'!C16</f>
        <v>11771</v>
      </c>
      <c r="D29" s="467">
        <f>'UBS Jardim Boa Vista'!D16</f>
        <v>-0.14055198598130836</v>
      </c>
      <c r="E29" s="473">
        <f>'UBS Jardim Boa Vista'!E16</f>
        <v>13463</v>
      </c>
      <c r="F29" s="467">
        <f>'UBS Jardim Boa Vista'!F16</f>
        <v>-1.7012266355140193E-2</v>
      </c>
      <c r="G29" s="473">
        <f>'UBS Jardim Boa Vista'!G16</f>
        <v>11296</v>
      </c>
      <c r="H29" s="467">
        <f>'UBS Jardim Boa Vista'!H16</f>
        <v>-0.17523364485981308</v>
      </c>
      <c r="I29" s="473">
        <f>'UBS Jardim Boa Vista'!K16</f>
        <v>12884</v>
      </c>
      <c r="J29" s="467">
        <f>'UBS Jardim Boa Vista'!L16</f>
        <v>-5.9287383177570097E-2</v>
      </c>
      <c r="K29" s="473">
        <f>'UBS Jardim Boa Vista'!M16</f>
        <v>10815</v>
      </c>
      <c r="L29" s="467">
        <f>'UBS Jardim Boa Vista'!N16</f>
        <v>-0.21035338785046731</v>
      </c>
      <c r="M29" s="473">
        <f>'UBS Jardim Boa Vista'!O16</f>
        <v>10638</v>
      </c>
      <c r="N29" s="467">
        <f>'UBS Jardim Boa Vista'!P16</f>
        <v>-0.22327686915887845</v>
      </c>
    </row>
    <row r="31" spans="1:14" ht="15.75" x14ac:dyDescent="0.25">
      <c r="A31" s="637" t="s">
        <v>205</v>
      </c>
      <c r="B31" s="638"/>
      <c r="C31" s="638"/>
      <c r="D31" s="638"/>
      <c r="E31" s="638"/>
      <c r="F31" s="638"/>
      <c r="G31" s="638"/>
      <c r="H31" s="638"/>
      <c r="I31" s="638"/>
      <c r="J31" s="638"/>
      <c r="K31" s="638"/>
      <c r="L31" s="638"/>
      <c r="M31" s="638"/>
      <c r="N31" s="638"/>
    </row>
    <row r="32" spans="1:14" ht="24.75" thickBot="1" x14ac:dyDescent="0.3">
      <c r="A32" s="477" t="s">
        <v>12</v>
      </c>
      <c r="B32" s="462" t="s">
        <v>13</v>
      </c>
      <c r="C32" s="461" t="s">
        <v>260</v>
      </c>
      <c r="D32" s="463" t="s">
        <v>1</v>
      </c>
      <c r="E32" s="461" t="s">
        <v>261</v>
      </c>
      <c r="F32" s="463" t="s">
        <v>1</v>
      </c>
      <c r="G32" s="461" t="s">
        <v>2</v>
      </c>
      <c r="H32" s="463" t="s">
        <v>1</v>
      </c>
      <c r="I32" s="461" t="s">
        <v>3</v>
      </c>
      <c r="J32" s="463" t="s">
        <v>1</v>
      </c>
      <c r="K32" s="461" t="s">
        <v>4</v>
      </c>
      <c r="L32" s="463" t="s">
        <v>1</v>
      </c>
      <c r="M32" s="461" t="s">
        <v>5</v>
      </c>
      <c r="N32" s="463" t="s">
        <v>1</v>
      </c>
    </row>
    <row r="33" spans="1:14" ht="15.75" thickTop="1" x14ac:dyDescent="0.25">
      <c r="A33" s="478" t="str">
        <f>'UBS e NASF Jardim D´Abril'!A7</f>
        <v>ACS (Visita Domiciliar)</v>
      </c>
      <c r="B33" s="479">
        <f>'UBS e NASF Jardim D´Abril'!B7</f>
        <v>4800</v>
      </c>
      <c r="C33" s="480">
        <f>'UBS e NASF Jardim D´Abril'!C7</f>
        <v>4192</v>
      </c>
      <c r="D33" s="481">
        <f>'UBS e NASF Jardim D´Abril'!D7</f>
        <v>-0.12666666666666671</v>
      </c>
      <c r="E33" s="482">
        <f>'UBS e NASF Jardim D´Abril'!E7</f>
        <v>3582</v>
      </c>
      <c r="F33" s="481">
        <f>'UBS e NASF Jardim D´Abril'!F7</f>
        <v>-0.25375000000000003</v>
      </c>
      <c r="G33" s="482">
        <f>'UBS e NASF Jardim D´Abril'!G7</f>
        <v>3555</v>
      </c>
      <c r="H33" s="483">
        <f>'UBS e NASF Jardim D´Abril'!H7</f>
        <v>-0.25937500000000002</v>
      </c>
      <c r="I33" s="482">
        <f>'UBS e NASF Jardim D´Abril'!K7</f>
        <v>3668</v>
      </c>
      <c r="J33" s="481">
        <f>'UBS e NASF Jardim D´Abril'!L7</f>
        <v>-0.23583333333333334</v>
      </c>
      <c r="K33" s="482">
        <f>'UBS e NASF Jardim D´Abril'!M7</f>
        <v>4112</v>
      </c>
      <c r="L33" s="481">
        <f>'UBS e NASF Jardim D´Abril'!N7</f>
        <v>-0.14333333333333331</v>
      </c>
      <c r="M33" s="482">
        <f>'UBS e NASF Jardim D´Abril'!O7</f>
        <v>4430</v>
      </c>
      <c r="N33" s="483">
        <f>'UBS e NASF Jardim D´Abril'!P7</f>
        <v>-7.7083333333333282E-2</v>
      </c>
    </row>
    <row r="34" spans="1:14" x14ac:dyDescent="0.25">
      <c r="A34" s="484" t="str">
        <f>'UBS e NASF Jardim D´Abril'!A8</f>
        <v xml:space="preserve">Médico Generelista (consulta) </v>
      </c>
      <c r="B34" s="485">
        <f>'UBS e NASF Jardim D´Abril'!B8</f>
        <v>1664</v>
      </c>
      <c r="C34" s="486">
        <f>'UBS e NASF Jardim D´Abril'!C8</f>
        <v>697</v>
      </c>
      <c r="D34" s="481">
        <f>'UBS e NASF Jardim D´Abril'!D8</f>
        <v>-0.58112980769230771</v>
      </c>
      <c r="E34" s="487">
        <f>'UBS e NASF Jardim D´Abril'!E8</f>
        <v>447</v>
      </c>
      <c r="F34" s="481">
        <f>'UBS e NASF Jardim D´Abril'!F8</f>
        <v>-0.73137019230769229</v>
      </c>
      <c r="G34" s="487">
        <f>'UBS e NASF Jardim D´Abril'!G8</f>
        <v>838</v>
      </c>
      <c r="H34" s="483">
        <f>'UBS e NASF Jardim D´Abril'!H8</f>
        <v>-0.49639423076923073</v>
      </c>
      <c r="I34" s="487">
        <f>'UBS e NASF Jardim D´Abril'!K8</f>
        <v>935</v>
      </c>
      <c r="J34" s="481">
        <f>'UBS e NASF Jardim D´Abril'!L8</f>
        <v>-0.43810096153846156</v>
      </c>
      <c r="K34" s="487">
        <f>'UBS e NASF Jardim D´Abril'!M8</f>
        <v>1156</v>
      </c>
      <c r="L34" s="481">
        <f>'UBS e NASF Jardim D´Abril'!N8</f>
        <v>-0.30528846153846156</v>
      </c>
      <c r="M34" s="487">
        <f>'UBS e NASF Jardim D´Abril'!O8</f>
        <v>1135</v>
      </c>
      <c r="N34" s="483">
        <f>'UBS e NASF Jardim D´Abril'!P8</f>
        <v>-0.31790865384615385</v>
      </c>
    </row>
    <row r="35" spans="1:14" x14ac:dyDescent="0.25">
      <c r="A35" s="484" t="str">
        <f>'UBS e NASF Jardim D´Abril'!A9</f>
        <v xml:space="preserve">Enfermeiro (consulta) - ESF </v>
      </c>
      <c r="B35" s="485">
        <f>'UBS e NASF Jardim D´Abril'!B9</f>
        <v>624</v>
      </c>
      <c r="C35" s="486">
        <f>'UBS e NASF Jardim D´Abril'!C9</f>
        <v>624</v>
      </c>
      <c r="D35" s="481">
        <f>'UBS e NASF Jardim D´Abril'!D9</f>
        <v>0</v>
      </c>
      <c r="E35" s="487">
        <f>'UBS e NASF Jardim D´Abril'!E9</f>
        <v>736</v>
      </c>
      <c r="F35" s="481">
        <f>'UBS e NASF Jardim D´Abril'!F9</f>
        <v>0.17948717948717952</v>
      </c>
      <c r="G35" s="487">
        <f>'UBS e NASF Jardim D´Abril'!G9</f>
        <v>789</v>
      </c>
      <c r="H35" s="483">
        <f>'UBS e NASF Jardim D´Abril'!H9</f>
        <v>0.26442307692307687</v>
      </c>
      <c r="I35" s="487">
        <f>'UBS e NASF Jardim D´Abril'!K9</f>
        <v>649</v>
      </c>
      <c r="J35" s="481">
        <f>'UBS e NASF Jardim D´Abril'!L9</f>
        <v>4.0064102564102644E-2</v>
      </c>
      <c r="K35" s="487">
        <f>'UBS e NASF Jardim D´Abril'!M9</f>
        <v>656</v>
      </c>
      <c r="L35" s="481">
        <f>'UBS e NASF Jardim D´Abril'!N9</f>
        <v>5.1282051282051322E-2</v>
      </c>
      <c r="M35" s="487">
        <f>'UBS e NASF Jardim D´Abril'!O9</f>
        <v>594</v>
      </c>
      <c r="N35" s="483">
        <f>'UBS e NASF Jardim D´Abril'!P9</f>
        <v>-4.8076923076923128E-2</v>
      </c>
    </row>
    <row r="36" spans="1:14" ht="36" x14ac:dyDescent="0.25">
      <c r="A36" s="574" t="str">
        <f>'UBS e NASF Jardim D´Abril'!A10</f>
        <v>Cirurgião Dentista (atendimento individual) II - UBS</v>
      </c>
      <c r="B36" s="485">
        <f>'UBS e NASF Jardim D´Abril'!B10</f>
        <v>208</v>
      </c>
      <c r="C36" s="486">
        <f>'UBS e NASF Jardim D´Abril'!C10</f>
        <v>194</v>
      </c>
      <c r="D36" s="481">
        <f>'UBS e NASF Jardim D´Abril'!D10</f>
        <v>-6.7307692307692291E-2</v>
      </c>
      <c r="E36" s="487">
        <f>'UBS e NASF Jardim D´Abril'!E10</f>
        <v>176</v>
      </c>
      <c r="F36" s="481">
        <f>'UBS e NASF Jardim D´Abril'!F10</f>
        <v>-0.15384615384615385</v>
      </c>
      <c r="G36" s="487">
        <f>'UBS e NASF Jardim D´Abril'!G10</f>
        <v>202</v>
      </c>
      <c r="H36" s="483">
        <f>'UBS e NASF Jardim D´Abril'!H10</f>
        <v>-2.8846153846153855E-2</v>
      </c>
      <c r="I36" s="487">
        <f>'UBS e NASF Jardim D´Abril'!K10</f>
        <v>163</v>
      </c>
      <c r="J36" s="481">
        <f>'UBS e NASF Jardim D´Abril'!L10</f>
        <v>-0.21634615384615385</v>
      </c>
      <c r="K36" s="487">
        <f>'UBS e NASF Jardim D´Abril'!M10</f>
        <v>24</v>
      </c>
      <c r="L36" s="481">
        <f>'UBS e NASF Jardim D´Abril'!N10</f>
        <v>-0.88461538461538458</v>
      </c>
      <c r="M36" s="487">
        <f>'UBS e NASF Jardim D´Abril'!O10</f>
        <v>35</v>
      </c>
      <c r="N36" s="483">
        <f>'UBS e NASF Jardim D´Abril'!P10</f>
        <v>-0.83173076923076916</v>
      </c>
    </row>
    <row r="37" spans="1:14" ht="24.75" thickBot="1" x14ac:dyDescent="0.3">
      <c r="A37" s="574" t="str">
        <f>'UBS e NASF Jardim D´Abril'!A11</f>
        <v>Cirurgião Dentista (procedimento) UBS</v>
      </c>
      <c r="B37" s="485">
        <f>'UBS e NASF Jardim D´Abril'!B11</f>
        <v>1248</v>
      </c>
      <c r="C37" s="486">
        <f>'UBS e NASF Jardim D´Abril'!C11</f>
        <v>829</v>
      </c>
      <c r="D37" s="481">
        <f>'UBS e NASF Jardim D´Abril'!D11</f>
        <v>-0.33573717948717952</v>
      </c>
      <c r="E37" s="487">
        <f>'UBS e NASF Jardim D´Abril'!E11</f>
        <v>1122</v>
      </c>
      <c r="F37" s="481">
        <f>'UBS e NASF Jardim D´Abril'!F11</f>
        <v>-0.10096153846153844</v>
      </c>
      <c r="G37" s="487">
        <f>'UBS e NASF Jardim D´Abril'!G11</f>
        <v>2228</v>
      </c>
      <c r="H37" s="483">
        <f>'UBS e NASF Jardim D´Abril'!H11</f>
        <v>0.78525641025641035</v>
      </c>
      <c r="I37" s="487">
        <f>'UBS e NASF Jardim D´Abril'!K11</f>
        <v>1891</v>
      </c>
      <c r="J37" s="481">
        <f>'UBS e NASF Jardim D´Abril'!L11</f>
        <v>0.51522435897435903</v>
      </c>
      <c r="K37" s="487">
        <f>'UBS e NASF Jardim D´Abril'!M11</f>
        <v>71</v>
      </c>
      <c r="L37" s="481">
        <f>'UBS e NASF Jardim D´Abril'!N11</f>
        <v>-0.94310897435897434</v>
      </c>
      <c r="M37" s="487">
        <f>'UBS e NASF Jardim D´Abril'!O11</f>
        <v>120</v>
      </c>
      <c r="N37" s="483">
        <f>'UBS e NASF Jardim D´Abril'!P11</f>
        <v>-0.90384615384615385</v>
      </c>
    </row>
    <row r="38" spans="1:14" ht="15.75" thickBot="1" x14ac:dyDescent="0.3">
      <c r="A38" s="488" t="str">
        <f>'UBS e NASF Jardim D´Abril'!A12</f>
        <v>SOMA</v>
      </c>
      <c r="B38" s="489">
        <f>'UBS e NASF Jardim D´Abril'!B12</f>
        <v>8544</v>
      </c>
      <c r="C38" s="490">
        <f>'UBS e NASF Jardim D´Abril'!C12</f>
        <v>6536</v>
      </c>
      <c r="D38" s="491">
        <f>'UBS e NASF Jardim D´Abril'!D12</f>
        <v>-0.23501872659176026</v>
      </c>
      <c r="E38" s="490">
        <f>'UBS e NASF Jardim D´Abril'!E12</f>
        <v>6063</v>
      </c>
      <c r="F38" s="491">
        <f>'UBS e NASF Jardim D´Abril'!F12</f>
        <v>-0.2903792134831461</v>
      </c>
      <c r="G38" s="490">
        <f>'UBS e NASF Jardim D´Abril'!G12</f>
        <v>7612</v>
      </c>
      <c r="H38" s="492">
        <f>'UBS e NASF Jardim D´Abril'!H12</f>
        <v>-0.10908239700374533</v>
      </c>
      <c r="I38" s="490">
        <f>'UBS e NASF Jardim D´Abril'!K12</f>
        <v>7306</v>
      </c>
      <c r="J38" s="491">
        <f>'UBS e NASF Jardim D´Abril'!L12</f>
        <v>-0.14489700374531833</v>
      </c>
      <c r="K38" s="490">
        <f>'UBS e NASF Jardim D´Abril'!M12</f>
        <v>6019</v>
      </c>
      <c r="L38" s="491">
        <f>'UBS e NASF Jardim D´Abril'!N12</f>
        <v>-0.29552902621722843</v>
      </c>
      <c r="M38" s="490">
        <f>'UBS e NASF Jardim D´Abril'!O12</f>
        <v>6314</v>
      </c>
      <c r="N38" s="492">
        <f>'UBS e NASF Jardim D´Abril'!P12</f>
        <v>-0.26100187265917607</v>
      </c>
    </row>
    <row r="40" spans="1:14" ht="15.75" x14ac:dyDescent="0.25">
      <c r="A40" s="627" t="s">
        <v>206</v>
      </c>
      <c r="B40" s="628"/>
      <c r="C40" s="628"/>
      <c r="D40" s="628"/>
      <c r="E40" s="628"/>
      <c r="F40" s="628"/>
      <c r="G40" s="628"/>
      <c r="H40" s="628"/>
      <c r="I40" s="628"/>
      <c r="J40" s="628"/>
      <c r="K40" s="628"/>
      <c r="L40" s="628"/>
      <c r="M40" s="628"/>
      <c r="N40" s="628"/>
    </row>
    <row r="41" spans="1:14" ht="24" x14ac:dyDescent="0.25">
      <c r="A41" s="474" t="s">
        <v>12</v>
      </c>
      <c r="B41" s="462" t="str">
        <f t="shared" ref="B41" si="0">B32</f>
        <v>Meta / Mês</v>
      </c>
      <c r="C41" s="461" t="s">
        <v>260</v>
      </c>
      <c r="D41" s="463" t="s">
        <v>1</v>
      </c>
      <c r="E41" s="461" t="s">
        <v>261</v>
      </c>
      <c r="F41" s="463" t="s">
        <v>1</v>
      </c>
      <c r="G41" s="461" t="s">
        <v>2</v>
      </c>
      <c r="H41" s="463" t="s">
        <v>1</v>
      </c>
      <c r="I41" s="461" t="s">
        <v>3</v>
      </c>
      <c r="J41" s="463" t="s">
        <v>1</v>
      </c>
      <c r="K41" s="461" t="s">
        <v>4</v>
      </c>
      <c r="L41" s="463" t="s">
        <v>1</v>
      </c>
      <c r="M41" s="461" t="s">
        <v>5</v>
      </c>
      <c r="N41" s="463" t="s">
        <v>1</v>
      </c>
    </row>
    <row r="42" spans="1:14" x14ac:dyDescent="0.25">
      <c r="A42" s="475" t="str">
        <f>'UBS Jardim Jaqueline'!A7</f>
        <v>ACS (Visita Domiciliar) - ESF</v>
      </c>
      <c r="B42" s="465">
        <f>'UBS Jardim Jaqueline'!B7</f>
        <v>3600</v>
      </c>
      <c r="C42" s="466">
        <f>'UBS Jardim Jaqueline'!C7</f>
        <v>0</v>
      </c>
      <c r="D42" s="493">
        <f>'UBS Jardim Jaqueline'!D7</f>
        <v>-1</v>
      </c>
      <c r="E42" s="466">
        <f>'UBS Jardim Jaqueline'!E7</f>
        <v>0</v>
      </c>
      <c r="F42" s="493">
        <f>'UBS Jardim Jaqueline'!F7</f>
        <v>-1</v>
      </c>
      <c r="G42" s="466">
        <f>'UBS Jardim Jaqueline'!G7</f>
        <v>0</v>
      </c>
      <c r="H42" s="493">
        <f>'UBS Jardim Jaqueline'!H7</f>
        <v>-1</v>
      </c>
      <c r="I42" s="466">
        <f>'UBS Jardim Jaqueline'!K7</f>
        <v>0</v>
      </c>
      <c r="J42" s="493">
        <f>'UBS Jardim Jaqueline'!L7</f>
        <v>-1</v>
      </c>
      <c r="K42" s="466">
        <f>'UBS Jardim Jaqueline'!M7</f>
        <v>1</v>
      </c>
      <c r="L42" s="493">
        <f>'UBS Jardim Jaqueline'!N7</f>
        <v>-0.99972222222222218</v>
      </c>
      <c r="M42" s="466">
        <f>'UBS Jardim Jaqueline'!O7</f>
        <v>0</v>
      </c>
      <c r="N42" s="493">
        <f>'UBS Jardim Jaqueline'!P7</f>
        <v>-1</v>
      </c>
    </row>
    <row r="43" spans="1:14" x14ac:dyDescent="0.25">
      <c r="A43" s="475" t="str">
        <f>'UBS Jardim Jaqueline'!A8</f>
        <v xml:space="preserve">Médico Generelista (consulta) </v>
      </c>
      <c r="B43" s="465">
        <f>'UBS Jardim Jaqueline'!B8</f>
        <v>1248</v>
      </c>
      <c r="C43" s="466">
        <f>'UBS Jardim Jaqueline'!C8</f>
        <v>0</v>
      </c>
      <c r="D43" s="493">
        <f>'UBS Jardim Jaqueline'!D8</f>
        <v>-1</v>
      </c>
      <c r="E43" s="466">
        <f>'UBS Jardim Jaqueline'!E8</f>
        <v>216</v>
      </c>
      <c r="F43" s="493">
        <f>'UBS Jardim Jaqueline'!F8</f>
        <v>-0.82692307692307687</v>
      </c>
      <c r="G43" s="466">
        <f>'UBS Jardim Jaqueline'!G8</f>
        <v>570</v>
      </c>
      <c r="H43" s="493">
        <f>'UBS Jardim Jaqueline'!H8</f>
        <v>-0.54326923076923084</v>
      </c>
      <c r="I43" s="466">
        <f>'UBS Jardim Jaqueline'!K8</f>
        <v>488</v>
      </c>
      <c r="J43" s="493">
        <f>'UBS Jardim Jaqueline'!L8</f>
        <v>-0.60897435897435903</v>
      </c>
      <c r="K43" s="466">
        <f>'UBS Jardim Jaqueline'!M8</f>
        <v>343</v>
      </c>
      <c r="L43" s="493">
        <f>'UBS Jardim Jaqueline'!N8</f>
        <v>-0.72516025641025639</v>
      </c>
      <c r="M43" s="466">
        <f>'UBS Jardim Jaqueline'!O8</f>
        <v>431</v>
      </c>
      <c r="N43" s="493">
        <f>'UBS Jardim Jaqueline'!P8</f>
        <v>-0.6546474358974359</v>
      </c>
    </row>
    <row r="44" spans="1:14" x14ac:dyDescent="0.25">
      <c r="A44" s="475" t="str">
        <f>'UBS Jardim Jaqueline'!A9</f>
        <v xml:space="preserve">Enfermeiro (consulta) - ESF </v>
      </c>
      <c r="B44" s="465">
        <f>'UBS Jardim Jaqueline'!B9</f>
        <v>468</v>
      </c>
      <c r="C44" s="466">
        <f>'UBS Jardim Jaqueline'!C9</f>
        <v>20</v>
      </c>
      <c r="D44" s="493">
        <f>'UBS Jardim Jaqueline'!D9</f>
        <v>-0.95726495726495731</v>
      </c>
      <c r="E44" s="466">
        <f>'UBS Jardim Jaqueline'!E9</f>
        <v>21</v>
      </c>
      <c r="F44" s="493">
        <f>'UBS Jardim Jaqueline'!F9</f>
        <v>-0.95512820512820518</v>
      </c>
      <c r="G44" s="466">
        <f>'UBS Jardim Jaqueline'!G9</f>
        <v>44</v>
      </c>
      <c r="H44" s="493">
        <f>'UBS Jardim Jaqueline'!H9</f>
        <v>-0.90598290598290598</v>
      </c>
      <c r="I44" s="466">
        <f>'UBS Jardim Jaqueline'!K9</f>
        <v>66</v>
      </c>
      <c r="J44" s="493">
        <f>'UBS Jardim Jaqueline'!L9</f>
        <v>-0.85897435897435903</v>
      </c>
      <c r="K44" s="466">
        <f>'UBS Jardim Jaqueline'!M9</f>
        <v>81</v>
      </c>
      <c r="L44" s="493">
        <f>'UBS Jardim Jaqueline'!N9</f>
        <v>-0.82692307692307687</v>
      </c>
      <c r="M44" s="466">
        <f>'UBS Jardim Jaqueline'!O9</f>
        <v>77</v>
      </c>
      <c r="N44" s="493">
        <f>'UBS Jardim Jaqueline'!P9</f>
        <v>-0.8354700854700855</v>
      </c>
    </row>
    <row r="45" spans="1:14" x14ac:dyDescent="0.25">
      <c r="A45" s="476" t="str">
        <f>'UBS Jardim Jaqueline'!A10</f>
        <v>SOMA</v>
      </c>
      <c r="B45" s="465">
        <f>'UBS Jardim Jaqueline'!B10</f>
        <v>5316</v>
      </c>
      <c r="C45" s="473">
        <f>'UBS Jardim Jaqueline'!C10</f>
        <v>20</v>
      </c>
      <c r="D45" s="467">
        <f>'UBS Jardim Jaqueline'!D10</f>
        <v>-0.99623777276147474</v>
      </c>
      <c r="E45" s="473">
        <f>'UBS Jardim Jaqueline'!E10</f>
        <v>237</v>
      </c>
      <c r="F45" s="467">
        <f>'UBS Jardim Jaqueline'!F10</f>
        <v>-0.95541760722347635</v>
      </c>
      <c r="G45" s="473">
        <f>'UBS Jardim Jaqueline'!G10</f>
        <v>614</v>
      </c>
      <c r="H45" s="467">
        <f>'UBS Jardim Jaqueline'!H10</f>
        <v>-0.8844996237772762</v>
      </c>
      <c r="I45" s="473">
        <f>'UBS Jardim Jaqueline'!K10</f>
        <v>554</v>
      </c>
      <c r="J45" s="467">
        <f>'UBS Jardim Jaqueline'!L10</f>
        <v>-0.89578630549285176</v>
      </c>
      <c r="K45" s="473">
        <f>'UBS Jardim Jaqueline'!M10</f>
        <v>425</v>
      </c>
      <c r="L45" s="467">
        <f>'UBS Jardim Jaqueline'!N10</f>
        <v>-0.92005267118133938</v>
      </c>
      <c r="M45" s="473">
        <f>'UBS Jardim Jaqueline'!O10</f>
        <v>508</v>
      </c>
      <c r="N45" s="467">
        <f>'UBS Jardim Jaqueline'!P10</f>
        <v>-0.90443942814145972</v>
      </c>
    </row>
    <row r="47" spans="1:14" ht="15.75" x14ac:dyDescent="0.25">
      <c r="A47" s="627" t="s">
        <v>215</v>
      </c>
      <c r="B47" s="628"/>
      <c r="C47" s="628"/>
      <c r="D47" s="628"/>
      <c r="E47" s="628"/>
      <c r="F47" s="628"/>
      <c r="G47" s="628"/>
      <c r="H47" s="628"/>
      <c r="I47" s="628"/>
      <c r="J47" s="628"/>
      <c r="K47" s="628"/>
      <c r="L47" s="628"/>
      <c r="M47" s="628"/>
      <c r="N47" s="628"/>
    </row>
    <row r="48" spans="1:14" ht="24.75" thickBot="1" x14ac:dyDescent="0.3">
      <c r="A48" s="494" t="s">
        <v>12</v>
      </c>
      <c r="B48" s="495" t="s">
        <v>13</v>
      </c>
      <c r="C48" s="461" t="s">
        <v>260</v>
      </c>
      <c r="D48" s="463" t="s">
        <v>1</v>
      </c>
      <c r="E48" s="461" t="s">
        <v>261</v>
      </c>
      <c r="F48" s="463" t="s">
        <v>1</v>
      </c>
      <c r="G48" s="461" t="s">
        <v>2</v>
      </c>
      <c r="H48" s="463" t="s">
        <v>1</v>
      </c>
      <c r="I48" s="461" t="s">
        <v>3</v>
      </c>
      <c r="J48" s="463" t="s">
        <v>1</v>
      </c>
      <c r="K48" s="461" t="s">
        <v>4</v>
      </c>
      <c r="L48" s="463" t="s">
        <v>1</v>
      </c>
      <c r="M48" s="461" t="s">
        <v>5</v>
      </c>
      <c r="N48" s="463" t="s">
        <v>1</v>
      </c>
    </row>
    <row r="49" spans="1:14" ht="15.75" thickTop="1" x14ac:dyDescent="0.25">
      <c r="A49" s="496" t="str">
        <f>'UBS E NASF Malta Cardoso'!A8</f>
        <v>ACS</v>
      </c>
      <c r="B49" s="479">
        <f>'UBS E NASF Malta Cardoso'!B8</f>
        <v>3600</v>
      </c>
      <c r="C49" s="480">
        <f>'UBS E NASF Malta Cardoso'!C8</f>
        <v>2937</v>
      </c>
      <c r="D49" s="497">
        <f>'UBS E NASF Malta Cardoso'!D8</f>
        <v>-0.1841666666666667</v>
      </c>
      <c r="E49" s="482">
        <f>'UBS E NASF Malta Cardoso'!E8</f>
        <v>2908</v>
      </c>
      <c r="F49" s="497">
        <f>'UBS E NASF Malta Cardoso'!F8</f>
        <v>-0.19222222222222218</v>
      </c>
      <c r="G49" s="482">
        <f>'UBS E NASF Malta Cardoso'!G8</f>
        <v>2671</v>
      </c>
      <c r="H49" s="497">
        <f>'UBS E NASF Malta Cardoso'!H8</f>
        <v>-0.25805555555555559</v>
      </c>
      <c r="I49" s="482">
        <f>'UBS E NASF Malta Cardoso'!K8</f>
        <v>2843</v>
      </c>
      <c r="J49" s="497">
        <f>'UBS E NASF Malta Cardoso'!L8</f>
        <v>-0.21027777777777779</v>
      </c>
      <c r="K49" s="482">
        <f>'UBS E NASF Malta Cardoso'!M8</f>
        <v>2881</v>
      </c>
      <c r="L49" s="497">
        <f>'UBS E NASF Malta Cardoso'!N8</f>
        <v>-0.19972222222222225</v>
      </c>
      <c r="M49" s="482">
        <f>'UBS E NASF Malta Cardoso'!O8</f>
        <v>2638</v>
      </c>
      <c r="N49" s="497">
        <f>'UBS E NASF Malta Cardoso'!P8</f>
        <v>-0.26722222222222225</v>
      </c>
    </row>
    <row r="50" spans="1:14" x14ac:dyDescent="0.25">
      <c r="A50" s="496" t="str">
        <f>'UBS E NASF Malta Cardoso'!A9</f>
        <v>Médico Generalista</v>
      </c>
      <c r="B50" s="498">
        <f>'UBS E NASF Malta Cardoso'!B9</f>
        <v>1248</v>
      </c>
      <c r="C50" s="499">
        <f>'UBS E NASF Malta Cardoso'!C9</f>
        <v>920</v>
      </c>
      <c r="D50" s="497">
        <f>'UBS E NASF Malta Cardoso'!D9</f>
        <v>-0.26282051282051277</v>
      </c>
      <c r="E50" s="487">
        <f>'UBS E NASF Malta Cardoso'!E9</f>
        <v>884</v>
      </c>
      <c r="F50" s="497">
        <f>'UBS E NASF Malta Cardoso'!F9</f>
        <v>-0.29166666666666663</v>
      </c>
      <c r="G50" s="487">
        <f>'UBS E NASF Malta Cardoso'!G9</f>
        <v>644</v>
      </c>
      <c r="H50" s="497">
        <f>'UBS E NASF Malta Cardoso'!H9</f>
        <v>-0.48397435897435892</v>
      </c>
      <c r="I50" s="487">
        <f>'UBS E NASF Malta Cardoso'!K9</f>
        <v>982</v>
      </c>
      <c r="J50" s="497">
        <f>'UBS E NASF Malta Cardoso'!L9</f>
        <v>-0.21314102564102566</v>
      </c>
      <c r="K50" s="487">
        <f>'UBS E NASF Malta Cardoso'!M9</f>
        <v>971</v>
      </c>
      <c r="L50" s="497">
        <f>'UBS E NASF Malta Cardoso'!N9</f>
        <v>-0.22195512820512819</v>
      </c>
      <c r="M50" s="487">
        <f>'UBS E NASF Malta Cardoso'!O9</f>
        <v>1036</v>
      </c>
      <c r="N50" s="497">
        <f>'UBS E NASF Malta Cardoso'!P9</f>
        <v>-0.16987179487179482</v>
      </c>
    </row>
    <row r="51" spans="1:14" x14ac:dyDescent="0.25">
      <c r="A51" s="496" t="str">
        <f>'UBS E NASF Malta Cardoso'!A10</f>
        <v>Enfermeiro - ESF</v>
      </c>
      <c r="B51" s="498">
        <f>'UBS E NASF Malta Cardoso'!B10</f>
        <v>469</v>
      </c>
      <c r="C51" s="499">
        <f>'UBS E NASF Malta Cardoso'!C10</f>
        <v>375</v>
      </c>
      <c r="D51" s="497">
        <f>'UBS E NASF Malta Cardoso'!D10</f>
        <v>-0.20042643923240944</v>
      </c>
      <c r="E51" s="487">
        <f>'UBS E NASF Malta Cardoso'!E10</f>
        <v>299</v>
      </c>
      <c r="F51" s="497">
        <f>'UBS E NASF Malta Cardoso'!F10</f>
        <v>-0.36247334754797444</v>
      </c>
      <c r="G51" s="487">
        <f>'UBS E NASF Malta Cardoso'!G10</f>
        <v>308</v>
      </c>
      <c r="H51" s="497">
        <f>'UBS E NASF Malta Cardoso'!H10</f>
        <v>-0.34328358208955223</v>
      </c>
      <c r="I51" s="487">
        <f>'UBS E NASF Malta Cardoso'!K10</f>
        <v>338</v>
      </c>
      <c r="J51" s="497">
        <f>'UBS E NASF Malta Cardoso'!L10</f>
        <v>-0.27931769722814503</v>
      </c>
      <c r="K51" s="487">
        <f>'UBS E NASF Malta Cardoso'!M10</f>
        <v>481</v>
      </c>
      <c r="L51" s="497">
        <f>'UBS E NASF Malta Cardoso'!N10</f>
        <v>2.5586353944562878E-2</v>
      </c>
      <c r="M51" s="487">
        <f>'UBS E NASF Malta Cardoso'!O10</f>
        <v>439</v>
      </c>
      <c r="N51" s="497">
        <f>'UBS E NASF Malta Cardoso'!P10</f>
        <v>-6.3965884861407196E-2</v>
      </c>
    </row>
    <row r="52" spans="1:14" ht="24" x14ac:dyDescent="0.25">
      <c r="A52" s="573" t="str">
        <f>'UBS E NASF Malta Cardoso'!A11</f>
        <v>Cirurgião Dentista - ESB I (atendimento individual)</v>
      </c>
      <c r="B52" s="500">
        <f>'UBS E NASF Malta Cardoso'!B11</f>
        <v>208</v>
      </c>
      <c r="C52" s="501">
        <f>'UBS E NASF Malta Cardoso'!C11</f>
        <v>0</v>
      </c>
      <c r="D52" s="502">
        <f>'UBS E NASF Malta Cardoso'!D11</f>
        <v>-1</v>
      </c>
      <c r="E52" s="501">
        <f>'UBS E NASF Malta Cardoso'!E11</f>
        <v>108</v>
      </c>
      <c r="F52" s="502">
        <f>'UBS E NASF Malta Cardoso'!F11</f>
        <v>-0.48076923076923073</v>
      </c>
      <c r="G52" s="501">
        <f>'UBS E NASF Malta Cardoso'!G11</f>
        <v>94</v>
      </c>
      <c r="H52" s="502">
        <f>'UBS E NASF Malta Cardoso'!H11</f>
        <v>-0.54807692307692313</v>
      </c>
      <c r="I52" s="501">
        <f>'UBS E NASF Malta Cardoso'!K11</f>
        <v>102</v>
      </c>
      <c r="J52" s="502">
        <f>'UBS E NASF Malta Cardoso'!L11</f>
        <v>-0.50961538461538458</v>
      </c>
      <c r="K52" s="501">
        <f>'UBS E NASF Malta Cardoso'!M11</f>
        <v>82</v>
      </c>
      <c r="L52" s="502">
        <f>'UBS E NASF Malta Cardoso'!N11</f>
        <v>-0.60576923076923084</v>
      </c>
      <c r="M52" s="501">
        <f>'UBS E NASF Malta Cardoso'!O11</f>
        <v>26</v>
      </c>
      <c r="N52" s="502">
        <f>'UBS E NASF Malta Cardoso'!P11</f>
        <v>-0.875</v>
      </c>
    </row>
    <row r="53" spans="1:14" ht="24" x14ac:dyDescent="0.25">
      <c r="A53" s="573" t="str">
        <f>'UBS E NASF Malta Cardoso'!A12</f>
        <v>Cirurgião Dentista - ESB I (procedimento)</v>
      </c>
      <c r="B53" s="465">
        <f>'UBS E NASF Malta Cardoso'!B12</f>
        <v>832</v>
      </c>
      <c r="C53" s="466">
        <f>'UBS E NASF Malta Cardoso'!C12</f>
        <v>0</v>
      </c>
      <c r="D53" s="467">
        <f>'UBS E NASF Malta Cardoso'!D12</f>
        <v>-1</v>
      </c>
      <c r="E53" s="466">
        <f>'UBS E NASF Malta Cardoso'!E12</f>
        <v>474</v>
      </c>
      <c r="F53" s="467">
        <f>'UBS E NASF Malta Cardoso'!F12</f>
        <v>-0.43028846153846156</v>
      </c>
      <c r="G53" s="466">
        <f>'UBS E NASF Malta Cardoso'!G12</f>
        <v>453</v>
      </c>
      <c r="H53" s="467">
        <f>'UBS E NASF Malta Cardoso'!H12</f>
        <v>-0.45552884615384615</v>
      </c>
      <c r="I53" s="466">
        <f>'UBS E NASF Malta Cardoso'!K12</f>
        <v>394</v>
      </c>
      <c r="J53" s="467">
        <f>'UBS E NASF Malta Cardoso'!L12</f>
        <v>-0.52644230769230771</v>
      </c>
      <c r="K53" s="466">
        <f>'UBS E NASF Malta Cardoso'!M12</f>
        <v>332</v>
      </c>
      <c r="L53" s="467">
        <f>'UBS E NASF Malta Cardoso'!N12</f>
        <v>-0.60096153846153844</v>
      </c>
      <c r="M53" s="466">
        <f>'UBS E NASF Malta Cardoso'!O12</f>
        <v>111</v>
      </c>
      <c r="N53" s="467">
        <f>'UBS E NASF Malta Cardoso'!P12</f>
        <v>-0.86658653846153844</v>
      </c>
    </row>
    <row r="54" spans="1:14" ht="24" x14ac:dyDescent="0.25">
      <c r="A54" s="464" t="str">
        <f>'UBS E NASF Malta Cardoso'!A13</f>
        <v>Cirurgião Dentista (atendimento individual)</v>
      </c>
      <c r="B54" s="465">
        <f>'UBS E NASF Malta Cardoso'!B13</f>
        <v>333</v>
      </c>
      <c r="C54" s="466">
        <f>'UBS E NASF Malta Cardoso'!C13</f>
        <v>212</v>
      </c>
      <c r="D54" s="467">
        <f>'UBS E NASF Malta Cardoso'!D13</f>
        <v>-0.36336336336336339</v>
      </c>
      <c r="E54" s="466">
        <f>'UBS E NASF Malta Cardoso'!E13</f>
        <v>73</v>
      </c>
      <c r="F54" s="467">
        <f>'UBS E NASF Malta Cardoso'!F13</f>
        <v>-0.78078078078078073</v>
      </c>
      <c r="G54" s="466">
        <f>'UBS E NASF Malta Cardoso'!G13</f>
        <v>104</v>
      </c>
      <c r="H54" s="467">
        <f>'UBS E NASF Malta Cardoso'!H13</f>
        <v>-0.68768768768768762</v>
      </c>
      <c r="I54" s="466">
        <f>'UBS E NASF Malta Cardoso'!K13</f>
        <v>0</v>
      </c>
      <c r="J54" s="467">
        <f>'UBS E NASF Malta Cardoso'!L13</f>
        <v>-1</v>
      </c>
      <c r="K54" s="466">
        <f>'UBS E NASF Malta Cardoso'!M13</f>
        <v>0</v>
      </c>
      <c r="L54" s="467">
        <f>'UBS E NASF Malta Cardoso'!N13</f>
        <v>-1</v>
      </c>
      <c r="M54" s="466">
        <f>'UBS E NASF Malta Cardoso'!O13</f>
        <v>0</v>
      </c>
      <c r="N54" s="467">
        <f>'UBS E NASF Malta Cardoso'!P13</f>
        <v>-1</v>
      </c>
    </row>
    <row r="55" spans="1:14" ht="24" x14ac:dyDescent="0.25">
      <c r="A55" s="464" t="str">
        <f>'UBS E NASF Malta Cardoso'!A14</f>
        <v>Cirurgião Dentista (procedimento)</v>
      </c>
      <c r="B55" s="465">
        <f>'UBS E NASF Malta Cardoso'!B14</f>
        <v>999</v>
      </c>
      <c r="C55" s="466">
        <f>'UBS E NASF Malta Cardoso'!C14</f>
        <v>712</v>
      </c>
      <c r="D55" s="467">
        <f>'UBS E NASF Malta Cardoso'!D14</f>
        <v>-0.28728728728728725</v>
      </c>
      <c r="E55" s="466">
        <f>'UBS E NASF Malta Cardoso'!E14</f>
        <v>291</v>
      </c>
      <c r="F55" s="467">
        <f>'UBS E NASF Malta Cardoso'!F14</f>
        <v>-0.70870870870870872</v>
      </c>
      <c r="G55" s="466">
        <f>'UBS E NASF Malta Cardoso'!G14</f>
        <v>0</v>
      </c>
      <c r="H55" s="467">
        <f>'UBS E NASF Malta Cardoso'!H14</f>
        <v>-1</v>
      </c>
      <c r="I55" s="466">
        <f>'UBS E NASF Malta Cardoso'!K14</f>
        <v>0</v>
      </c>
      <c r="J55" s="467">
        <f>'UBS E NASF Malta Cardoso'!L14</f>
        <v>-1</v>
      </c>
      <c r="K55" s="466">
        <f>'UBS E NASF Malta Cardoso'!M14</f>
        <v>0</v>
      </c>
      <c r="L55" s="467">
        <f>'UBS E NASF Malta Cardoso'!N14</f>
        <v>-1</v>
      </c>
      <c r="M55" s="466">
        <f>'UBS E NASF Malta Cardoso'!O14</f>
        <v>0</v>
      </c>
      <c r="N55" s="467">
        <f>'UBS E NASF Malta Cardoso'!P14</f>
        <v>-1</v>
      </c>
    </row>
    <row r="56" spans="1:14" x14ac:dyDescent="0.25">
      <c r="A56" s="475" t="str">
        <f>'UBS E NASF Malta Cardoso'!A15</f>
        <v>Clínico Geral</v>
      </c>
      <c r="B56" s="465">
        <f>'UBS E NASF Malta Cardoso'!B15</f>
        <v>789</v>
      </c>
      <c r="C56" s="466">
        <f>'UBS E NASF Malta Cardoso'!C15</f>
        <v>399</v>
      </c>
      <c r="D56" s="467">
        <f>'UBS E NASF Malta Cardoso'!D15</f>
        <v>-0.49429657794676807</v>
      </c>
      <c r="E56" s="466">
        <f>'UBS E NASF Malta Cardoso'!E15</f>
        <v>436</v>
      </c>
      <c r="F56" s="467">
        <f>'UBS E NASF Malta Cardoso'!F15</f>
        <v>-0.44740177439797213</v>
      </c>
      <c r="G56" s="466">
        <f>'UBS E NASF Malta Cardoso'!G15</f>
        <v>458</v>
      </c>
      <c r="H56" s="467">
        <f>'UBS E NASF Malta Cardoso'!H15</f>
        <v>-0.4195183776932826</v>
      </c>
      <c r="I56" s="466">
        <f>'UBS E NASF Malta Cardoso'!K15</f>
        <v>271</v>
      </c>
      <c r="J56" s="467">
        <f>'UBS E NASF Malta Cardoso'!L15</f>
        <v>-0.65652724968314324</v>
      </c>
      <c r="K56" s="466">
        <f>'UBS E NASF Malta Cardoso'!M15</f>
        <v>498</v>
      </c>
      <c r="L56" s="467">
        <f>'UBS E NASF Malta Cardoso'!N15</f>
        <v>-0.36882129277566544</v>
      </c>
      <c r="M56" s="466">
        <f>'UBS E NASF Malta Cardoso'!O15</f>
        <v>417</v>
      </c>
      <c r="N56" s="467">
        <f>'UBS E NASF Malta Cardoso'!P15</f>
        <v>-0.47148288973384034</v>
      </c>
    </row>
    <row r="57" spans="1:14" x14ac:dyDescent="0.25">
      <c r="A57" s="475" t="str">
        <f>'UBS E NASF Malta Cardoso'!A16</f>
        <v>Tocoginecologia</v>
      </c>
      <c r="B57" s="465">
        <f>'UBS E NASF Malta Cardoso'!B16</f>
        <v>789</v>
      </c>
      <c r="C57" s="466">
        <f>'UBS E NASF Malta Cardoso'!C16</f>
        <v>317</v>
      </c>
      <c r="D57" s="467">
        <f>'UBS E NASF Malta Cardoso'!D16</f>
        <v>-0.59822560202788333</v>
      </c>
      <c r="E57" s="466">
        <f>'UBS E NASF Malta Cardoso'!E16</f>
        <v>394</v>
      </c>
      <c r="F57" s="467">
        <f>'UBS E NASF Malta Cardoso'!F16</f>
        <v>-0.50063371356147024</v>
      </c>
      <c r="G57" s="466">
        <f>'UBS E NASF Malta Cardoso'!G16</f>
        <v>395</v>
      </c>
      <c r="H57" s="467">
        <f>'UBS E NASF Malta Cardoso'!H16</f>
        <v>-0.49936628643852976</v>
      </c>
      <c r="I57" s="466">
        <f>'UBS E NASF Malta Cardoso'!K16</f>
        <v>182</v>
      </c>
      <c r="J57" s="467">
        <f>'UBS E NASF Malta Cardoso'!L16</f>
        <v>-0.76932826362484152</v>
      </c>
      <c r="K57" s="466">
        <f>'UBS E NASF Malta Cardoso'!M16</f>
        <v>212</v>
      </c>
      <c r="L57" s="467">
        <f>'UBS E NASF Malta Cardoso'!N16</f>
        <v>-0.73130544993662872</v>
      </c>
      <c r="M57" s="466">
        <f>'UBS E NASF Malta Cardoso'!O16</f>
        <v>187</v>
      </c>
      <c r="N57" s="467">
        <f>'UBS E NASF Malta Cardoso'!P16</f>
        <v>-0.76299112801013935</v>
      </c>
    </row>
    <row r="58" spans="1:14" ht="15.75" thickBot="1" x14ac:dyDescent="0.3">
      <c r="A58" s="503" t="str">
        <f>'UBS E NASF Malta Cardoso'!A17</f>
        <v>Pediatra</v>
      </c>
      <c r="B58" s="504">
        <f>'UBS E NASF Malta Cardoso'!B17</f>
        <v>789</v>
      </c>
      <c r="C58" s="505">
        <f>'UBS E NASF Malta Cardoso'!C17</f>
        <v>50</v>
      </c>
      <c r="D58" s="506">
        <f>'UBS E NASF Malta Cardoso'!D17</f>
        <v>-0.9366286438529785</v>
      </c>
      <c r="E58" s="505">
        <f>'UBS E NASF Malta Cardoso'!E17</f>
        <v>12</v>
      </c>
      <c r="F58" s="506">
        <f>'UBS E NASF Malta Cardoso'!F17</f>
        <v>-0.98479087452471481</v>
      </c>
      <c r="G58" s="505">
        <f>'UBS E NASF Malta Cardoso'!G17</f>
        <v>12</v>
      </c>
      <c r="H58" s="506">
        <f>'UBS E NASF Malta Cardoso'!H17</f>
        <v>-0.98479087452471481</v>
      </c>
      <c r="I58" s="505">
        <f>'UBS E NASF Malta Cardoso'!K17</f>
        <v>122</v>
      </c>
      <c r="J58" s="506">
        <f>'UBS E NASF Malta Cardoso'!L17</f>
        <v>-0.84537389100126736</v>
      </c>
      <c r="K58" s="505">
        <f>'UBS E NASF Malta Cardoso'!M17</f>
        <v>237</v>
      </c>
      <c r="L58" s="506">
        <f>'UBS E NASF Malta Cardoso'!N17</f>
        <v>-0.69961977186311786</v>
      </c>
      <c r="M58" s="505">
        <f>'UBS E NASF Malta Cardoso'!O17</f>
        <v>213</v>
      </c>
      <c r="N58" s="506">
        <f>'UBS E NASF Malta Cardoso'!P17</f>
        <v>-0.73003802281368824</v>
      </c>
    </row>
    <row r="59" spans="1:14" ht="15.75" thickBot="1" x14ac:dyDescent="0.3">
      <c r="A59" s="488" t="str">
        <f>'UBS E NASF Malta Cardoso'!A18</f>
        <v>SOMA</v>
      </c>
      <c r="B59" s="489">
        <f>'UBS E NASF Malta Cardoso'!B18</f>
        <v>10056</v>
      </c>
      <c r="C59" s="490">
        <f>'UBS E NASF Malta Cardoso'!C18</f>
        <v>5922</v>
      </c>
      <c r="D59" s="491">
        <f>'UBS E NASF Malta Cardoso'!D18</f>
        <v>-0.41109785202863958</v>
      </c>
      <c r="E59" s="490">
        <f>'UBS E NASF Malta Cardoso'!E18</f>
        <v>5879</v>
      </c>
      <c r="F59" s="491">
        <f>'UBS E NASF Malta Cardoso'!F18</f>
        <v>-0.41537390612569614</v>
      </c>
      <c r="G59" s="490">
        <f>'UBS E NASF Malta Cardoso'!G18</f>
        <v>5139</v>
      </c>
      <c r="H59" s="491">
        <f>'UBS E NASF Malta Cardoso'!H18</f>
        <v>-0.48896181384248205</v>
      </c>
      <c r="I59" s="490">
        <f>'UBS E NASF Malta Cardoso'!K18</f>
        <v>5234</v>
      </c>
      <c r="J59" s="491">
        <f>'UBS E NASF Malta Cardoso'!L18</f>
        <v>-0.4795147175815434</v>
      </c>
      <c r="K59" s="490">
        <f>'UBS E NASF Malta Cardoso'!M18</f>
        <v>5694</v>
      </c>
      <c r="L59" s="491">
        <f>'UBS E NASF Malta Cardoso'!N18</f>
        <v>-0.43377088305489264</v>
      </c>
      <c r="M59" s="490">
        <f>'UBS E NASF Malta Cardoso'!O18</f>
        <v>5067</v>
      </c>
      <c r="N59" s="491">
        <f>'UBS E NASF Malta Cardoso'!P18</f>
        <v>-0.49612171837708829</v>
      </c>
    </row>
    <row r="61" spans="1:14" ht="15.75" x14ac:dyDescent="0.25">
      <c r="A61" s="627" t="s">
        <v>204</v>
      </c>
      <c r="B61" s="628"/>
      <c r="C61" s="628"/>
      <c r="D61" s="628"/>
      <c r="E61" s="628"/>
      <c r="F61" s="628"/>
      <c r="G61" s="628"/>
      <c r="H61" s="628"/>
      <c r="I61" s="628"/>
      <c r="J61" s="628"/>
      <c r="K61" s="628"/>
      <c r="L61" s="628"/>
      <c r="M61" s="628"/>
      <c r="N61" s="628"/>
    </row>
    <row r="62" spans="1:14" ht="24.75" thickBot="1" x14ac:dyDescent="0.3">
      <c r="A62" s="507" t="s">
        <v>12</v>
      </c>
      <c r="B62" s="508" t="s">
        <v>13</v>
      </c>
      <c r="C62" s="461" t="s">
        <v>260</v>
      </c>
      <c r="D62" s="463" t="s">
        <v>1</v>
      </c>
      <c r="E62" s="461" t="s">
        <v>261</v>
      </c>
      <c r="F62" s="463" t="s">
        <v>1</v>
      </c>
      <c r="G62" s="461" t="s">
        <v>2</v>
      </c>
      <c r="H62" s="463" t="s">
        <v>1</v>
      </c>
      <c r="I62" s="461" t="s">
        <v>3</v>
      </c>
      <c r="J62" s="463" t="s">
        <v>1</v>
      </c>
      <c r="K62" s="461" t="s">
        <v>4</v>
      </c>
      <c r="L62" s="463" t="s">
        <v>1</v>
      </c>
      <c r="M62" s="461" t="s">
        <v>5</v>
      </c>
      <c r="N62" s="463" t="s">
        <v>1</v>
      </c>
    </row>
    <row r="63" spans="1:14" ht="15.75" thickTop="1" x14ac:dyDescent="0.25">
      <c r="A63" s="509" t="str">
        <f>'UBS Real Parque'!A7</f>
        <v>ACS</v>
      </c>
      <c r="B63" s="469">
        <f>'UBS Real Parque'!B7</f>
        <v>1200</v>
      </c>
      <c r="C63" s="466">
        <f>'UBS Real Parque'!C7</f>
        <v>1061</v>
      </c>
      <c r="D63" s="467">
        <f>'UBS Real Parque'!D7</f>
        <v>-0.11583333333333334</v>
      </c>
      <c r="E63" s="466">
        <f>'UBS Real Parque'!E7</f>
        <v>1145</v>
      </c>
      <c r="F63" s="467">
        <f>'UBS Real Parque'!F7</f>
        <v>-4.5833333333333282E-2</v>
      </c>
      <c r="G63" s="466">
        <f>'UBS Real Parque'!G7</f>
        <v>1094</v>
      </c>
      <c r="H63" s="467">
        <f>'UBS Real Parque'!H7</f>
        <v>-8.8333333333333375E-2</v>
      </c>
      <c r="I63" s="466">
        <f>'UBS Real Parque'!K7</f>
        <v>1254</v>
      </c>
      <c r="J63" s="467">
        <f>'UBS Real Parque'!L7</f>
        <v>4.4999999999999929E-2</v>
      </c>
      <c r="K63" s="466">
        <f>'UBS Real Parque'!M7</f>
        <v>933</v>
      </c>
      <c r="L63" s="467">
        <f>'UBS Real Parque'!N7</f>
        <v>-0.22250000000000003</v>
      </c>
      <c r="M63" s="466">
        <f>'UBS Real Parque'!O7</f>
        <v>1443</v>
      </c>
      <c r="N63" s="467">
        <f>'UBS Real Parque'!P7</f>
        <v>0.2024999999999999</v>
      </c>
    </row>
    <row r="64" spans="1:14" x14ac:dyDescent="0.25">
      <c r="A64" s="509" t="str">
        <f>'UBS Real Parque'!A8</f>
        <v>Médico Generalista</v>
      </c>
      <c r="B64" s="469">
        <f>'UBS Real Parque'!B8</f>
        <v>416</v>
      </c>
      <c r="C64" s="466">
        <f>'UBS Real Parque'!C8</f>
        <v>534</v>
      </c>
      <c r="D64" s="467">
        <f>'UBS Real Parque'!D8</f>
        <v>0.28365384615384626</v>
      </c>
      <c r="E64" s="466">
        <f>'UBS Real Parque'!E8</f>
        <v>689</v>
      </c>
      <c r="F64" s="467">
        <f>'UBS Real Parque'!F8</f>
        <v>0.65625</v>
      </c>
      <c r="G64" s="466">
        <f>'UBS Real Parque'!G8</f>
        <v>429</v>
      </c>
      <c r="H64" s="467">
        <f>'UBS Real Parque'!H8</f>
        <v>3.125E-2</v>
      </c>
      <c r="I64" s="466">
        <f>'UBS Real Parque'!K8</f>
        <v>188</v>
      </c>
      <c r="J64" s="467">
        <f>'UBS Real Parque'!L8</f>
        <v>-0.54807692307692313</v>
      </c>
      <c r="K64" s="466">
        <f>'UBS Real Parque'!M8</f>
        <v>503</v>
      </c>
      <c r="L64" s="467">
        <f>'UBS Real Parque'!N8</f>
        <v>0.20913461538461542</v>
      </c>
      <c r="M64" s="466">
        <f>'UBS Real Parque'!O8</f>
        <v>535</v>
      </c>
      <c r="N64" s="467">
        <f>'UBS Real Parque'!P8</f>
        <v>0.28605769230769229</v>
      </c>
    </row>
    <row r="65" spans="1:14" x14ac:dyDescent="0.25">
      <c r="A65" s="576" t="str">
        <f>'UBS Real Parque'!A9</f>
        <v>Enfermeiro - ESF</v>
      </c>
      <c r="B65" s="469">
        <f>'UBS Real Parque'!B9</f>
        <v>156</v>
      </c>
      <c r="C65" s="466">
        <f>'UBS Real Parque'!C9</f>
        <v>276</v>
      </c>
      <c r="D65" s="467">
        <f>'UBS Real Parque'!D9</f>
        <v>0.76923076923076916</v>
      </c>
      <c r="E65" s="466">
        <f>'UBS Real Parque'!E9</f>
        <v>402</v>
      </c>
      <c r="F65" s="467">
        <f>'UBS Real Parque'!F9</f>
        <v>1.5769230769230771</v>
      </c>
      <c r="G65" s="466">
        <f>'UBS Real Parque'!G9</f>
        <v>322</v>
      </c>
      <c r="H65" s="467">
        <f>'UBS Real Parque'!H9</f>
        <v>1.0641025641025643</v>
      </c>
      <c r="I65" s="466">
        <f>'UBS Real Parque'!K9</f>
        <v>223</v>
      </c>
      <c r="J65" s="467">
        <f>'UBS Real Parque'!L9</f>
        <v>0.42948717948717952</v>
      </c>
      <c r="K65" s="466">
        <f>'UBS Real Parque'!M9</f>
        <v>204</v>
      </c>
      <c r="L65" s="467">
        <f>'UBS Real Parque'!N9</f>
        <v>0.30769230769230771</v>
      </c>
      <c r="M65" s="466">
        <f>'UBS Real Parque'!O9</f>
        <v>245</v>
      </c>
      <c r="N65" s="467">
        <f>'UBS Real Parque'!P9</f>
        <v>0.57051282051282048</v>
      </c>
    </row>
    <row r="66" spans="1:14" x14ac:dyDescent="0.25">
      <c r="A66" s="475" t="str">
        <f>'UBS Real Parque'!A10</f>
        <v>Agente indígena de Saúde</v>
      </c>
      <c r="B66" s="510">
        <f>'UBS Real Parque'!B10</f>
        <v>260</v>
      </c>
      <c r="C66" s="511">
        <f>'UBS Real Parque'!C10</f>
        <v>0</v>
      </c>
      <c r="D66" s="467">
        <f>'UBS Real Parque'!D10</f>
        <v>-1</v>
      </c>
      <c r="E66" s="511">
        <f>'UBS Real Parque'!E10</f>
        <v>0</v>
      </c>
      <c r="F66" s="467">
        <f>'UBS Real Parque'!F10</f>
        <v>-1</v>
      </c>
      <c r="G66" s="511">
        <f>'UBS Real Parque'!G10</f>
        <v>186</v>
      </c>
      <c r="H66" s="506">
        <f>'UBS Real Parque'!H10</f>
        <v>-0.2846153846153846</v>
      </c>
      <c r="I66" s="511">
        <f>'UBS Real Parque'!K10</f>
        <v>217</v>
      </c>
      <c r="J66" s="506">
        <f>'UBS Real Parque'!L10</f>
        <v>-0.16538461538461535</v>
      </c>
      <c r="K66" s="511">
        <f>'UBS Real Parque'!M10</f>
        <v>257</v>
      </c>
      <c r="L66" s="506">
        <f>'UBS Real Parque'!N10</f>
        <v>-1.1538461538461497E-2</v>
      </c>
      <c r="M66" s="511">
        <f>'UBS Real Parque'!O10</f>
        <v>0</v>
      </c>
      <c r="N66" s="506">
        <f>'UBS Real Parque'!P10</f>
        <v>-1</v>
      </c>
    </row>
    <row r="67" spans="1:14" x14ac:dyDescent="0.25">
      <c r="A67" s="475" t="str">
        <f>'UBS Real Parque'!A11</f>
        <v>Enfemeiro Saúde Indígena</v>
      </c>
      <c r="B67" s="510">
        <f>'UBS Real Parque'!B11</f>
        <v>104</v>
      </c>
      <c r="C67" s="511">
        <f>'UBS Real Parque'!C11</f>
        <v>0</v>
      </c>
      <c r="D67" s="467">
        <f>'UBS Real Parque'!D11</f>
        <v>-1</v>
      </c>
      <c r="E67" s="511">
        <f>'UBS Real Parque'!E11</f>
        <v>0</v>
      </c>
      <c r="F67" s="467">
        <f>'UBS Real Parque'!F11</f>
        <v>-1</v>
      </c>
      <c r="G67" s="511">
        <f>'UBS Real Parque'!G11</f>
        <v>299</v>
      </c>
      <c r="H67" s="506">
        <f>'UBS Real Parque'!H11</f>
        <v>1.875</v>
      </c>
      <c r="I67" s="511">
        <f>'UBS Real Parque'!K11</f>
        <v>85</v>
      </c>
      <c r="J67" s="506">
        <f>'UBS Real Parque'!L11</f>
        <v>-0.18269230769230771</v>
      </c>
      <c r="K67" s="511">
        <f>'UBS Real Parque'!M11</f>
        <v>0</v>
      </c>
      <c r="L67" s="506">
        <f>'UBS Real Parque'!N11</f>
        <v>-1</v>
      </c>
      <c r="M67" s="511">
        <f>'UBS Real Parque'!O11</f>
        <v>0</v>
      </c>
      <c r="N67" s="506">
        <f>'UBS Real Parque'!P11</f>
        <v>-1</v>
      </c>
    </row>
    <row r="68" spans="1:14" ht="24" x14ac:dyDescent="0.25">
      <c r="A68" s="464" t="str">
        <f>'UBS Real Parque'!A12</f>
        <v>Médico Generalista - Saúde Indígena</v>
      </c>
      <c r="B68" s="469">
        <f>'UBS Real Parque'!B12</f>
        <v>333</v>
      </c>
      <c r="C68" s="466">
        <f>'UBS Real Parque'!C12</f>
        <v>0</v>
      </c>
      <c r="D68" s="467">
        <f>'UBS Real Parque'!D12</f>
        <v>-1</v>
      </c>
      <c r="E68" s="466">
        <f>'UBS Real Parque'!E12</f>
        <v>0</v>
      </c>
      <c r="F68" s="467">
        <f>'UBS Real Parque'!F12</f>
        <v>-1</v>
      </c>
      <c r="G68" s="466">
        <f>'UBS Real Parque'!G12</f>
        <v>210</v>
      </c>
      <c r="H68" s="467">
        <f>'UBS Real Parque'!H12</f>
        <v>-0.36936936936936937</v>
      </c>
      <c r="I68" s="466">
        <f>'UBS Real Parque'!K12</f>
        <v>302</v>
      </c>
      <c r="J68" s="467">
        <f>'UBS Real Parque'!L12</f>
        <v>-9.3093093093093104E-2</v>
      </c>
      <c r="K68" s="466">
        <f>'UBS Real Parque'!M12</f>
        <v>233</v>
      </c>
      <c r="L68" s="467">
        <f>'UBS Real Parque'!N12</f>
        <v>-0.3003003003003003</v>
      </c>
      <c r="M68" s="466">
        <f>'UBS Real Parque'!O12</f>
        <v>0</v>
      </c>
      <c r="N68" s="467">
        <f>'UBS Real Parque'!P12</f>
        <v>-1</v>
      </c>
    </row>
    <row r="69" spans="1:14" ht="24" x14ac:dyDescent="0.25">
      <c r="A69" s="464" t="str">
        <f>'UBS Real Parque'!A13</f>
        <v>Cirurgião Dentista (atendimento individual)</v>
      </c>
      <c r="B69" s="469">
        <f>'UBS Real Parque'!B13</f>
        <v>333</v>
      </c>
      <c r="C69" s="466">
        <f>'UBS Real Parque'!C13</f>
        <v>247</v>
      </c>
      <c r="D69" s="467">
        <f>'UBS Real Parque'!D13</f>
        <v>-0.25825825825825821</v>
      </c>
      <c r="E69" s="466">
        <f>'UBS Real Parque'!E13</f>
        <v>285</v>
      </c>
      <c r="F69" s="467">
        <f>'UBS Real Parque'!F13</f>
        <v>-0.14414414414414412</v>
      </c>
      <c r="G69" s="466">
        <f>'UBS Real Parque'!G13</f>
        <v>228</v>
      </c>
      <c r="H69" s="467">
        <f>'UBS Real Parque'!H13</f>
        <v>-0.31531531531531531</v>
      </c>
      <c r="I69" s="466">
        <f>'UBS Real Parque'!K13</f>
        <v>189</v>
      </c>
      <c r="J69" s="467">
        <f>'UBS Real Parque'!L13</f>
        <v>-0.43243243243243246</v>
      </c>
      <c r="K69" s="466">
        <f>'UBS Real Parque'!M13</f>
        <v>0</v>
      </c>
      <c r="L69" s="467">
        <f>'UBS Real Parque'!N13</f>
        <v>-1</v>
      </c>
      <c r="M69" s="466">
        <f>'UBS Real Parque'!O13</f>
        <v>70</v>
      </c>
      <c r="N69" s="467">
        <f>'UBS Real Parque'!P13</f>
        <v>-0.78978978978978975</v>
      </c>
    </row>
    <row r="70" spans="1:14" ht="24" x14ac:dyDescent="0.25">
      <c r="A70" s="464" t="str">
        <f>'UBS Real Parque'!A14</f>
        <v>Cirurgião dentista (procedimento)</v>
      </c>
      <c r="B70" s="469">
        <f>'UBS Real Parque'!B14</f>
        <v>1332</v>
      </c>
      <c r="C70" s="466">
        <f>'UBS Real Parque'!C14</f>
        <v>345</v>
      </c>
      <c r="D70" s="467">
        <f>'UBS Real Parque'!D14</f>
        <v>-0.74099099099099097</v>
      </c>
      <c r="E70" s="466">
        <f>'UBS Real Parque'!E14</f>
        <v>358</v>
      </c>
      <c r="F70" s="467">
        <f>'UBS Real Parque'!F14</f>
        <v>-0.73123123123123124</v>
      </c>
      <c r="G70" s="466">
        <f>'UBS Real Parque'!G14</f>
        <v>420</v>
      </c>
      <c r="H70" s="467">
        <f>'UBS Real Parque'!H14</f>
        <v>-0.68468468468468469</v>
      </c>
      <c r="I70" s="466">
        <f>'UBS Real Parque'!K14</f>
        <v>407</v>
      </c>
      <c r="J70" s="467">
        <f>'UBS Real Parque'!L14</f>
        <v>-0.69444444444444442</v>
      </c>
      <c r="K70" s="466">
        <f>'UBS Real Parque'!M14</f>
        <v>0</v>
      </c>
      <c r="L70" s="467">
        <f>'UBS Real Parque'!N14</f>
        <v>-1</v>
      </c>
      <c r="M70" s="466">
        <f>'UBS Real Parque'!O14</f>
        <v>19</v>
      </c>
      <c r="N70" s="467">
        <f>'UBS Real Parque'!P14</f>
        <v>-0.9857357357357357</v>
      </c>
    </row>
    <row r="71" spans="1:14" x14ac:dyDescent="0.25">
      <c r="A71" s="475" t="str">
        <f>'UBS Real Parque'!A15</f>
        <v>Clínico Geral</v>
      </c>
      <c r="B71" s="469">
        <f>'UBS Real Parque'!B15</f>
        <v>526</v>
      </c>
      <c r="C71" s="466">
        <f>'UBS Real Parque'!C15</f>
        <v>0</v>
      </c>
      <c r="D71" s="467">
        <f>'UBS Real Parque'!D15</f>
        <v>-1</v>
      </c>
      <c r="E71" s="466">
        <f>'UBS Real Parque'!E15</f>
        <v>261</v>
      </c>
      <c r="F71" s="467">
        <f>'UBS Real Parque'!F15</f>
        <v>-0.50380228136882121</v>
      </c>
      <c r="G71" s="466">
        <f>'UBS Real Parque'!G15</f>
        <v>220</v>
      </c>
      <c r="H71" s="467">
        <f>'UBS Real Parque'!H15</f>
        <v>-0.58174904942965777</v>
      </c>
      <c r="I71" s="466">
        <f>'UBS Real Parque'!K15</f>
        <v>226</v>
      </c>
      <c r="J71" s="467">
        <f>'UBS Real Parque'!L15</f>
        <v>-0.57034220532319391</v>
      </c>
      <c r="K71" s="466">
        <f>'UBS Real Parque'!M15</f>
        <v>238</v>
      </c>
      <c r="L71" s="467">
        <f>'UBS Real Parque'!N15</f>
        <v>-0.54752851711026618</v>
      </c>
      <c r="M71" s="466">
        <f>'UBS Real Parque'!O15</f>
        <v>231</v>
      </c>
      <c r="N71" s="467">
        <f>'UBS Real Parque'!P15</f>
        <v>-0.56083650190114076</v>
      </c>
    </row>
    <row r="72" spans="1:14" x14ac:dyDescent="0.25">
      <c r="A72" s="475" t="str">
        <f>'UBS Real Parque'!A16</f>
        <v>Tocoginecologista</v>
      </c>
      <c r="B72" s="469">
        <f>'UBS Real Parque'!B16</f>
        <v>526</v>
      </c>
      <c r="C72" s="466">
        <f>'UBS Real Parque'!C16</f>
        <v>202</v>
      </c>
      <c r="D72" s="467">
        <f>'UBS Real Parque'!D16</f>
        <v>-0.61596958174904937</v>
      </c>
      <c r="E72" s="466">
        <f>'UBS Real Parque'!E16</f>
        <v>317</v>
      </c>
      <c r="F72" s="467">
        <f>'UBS Real Parque'!F16</f>
        <v>-0.39733840304182511</v>
      </c>
      <c r="G72" s="466">
        <f>'UBS Real Parque'!G16</f>
        <v>237</v>
      </c>
      <c r="H72" s="467">
        <f>'UBS Real Parque'!H16</f>
        <v>-0.54942965779467678</v>
      </c>
      <c r="I72" s="466">
        <f>'UBS Real Parque'!K16</f>
        <v>196</v>
      </c>
      <c r="J72" s="467">
        <f>'UBS Real Parque'!L16</f>
        <v>-0.62737642585551323</v>
      </c>
      <c r="K72" s="466">
        <f>'UBS Real Parque'!M16</f>
        <v>213</v>
      </c>
      <c r="L72" s="467">
        <f>'UBS Real Parque'!N16</f>
        <v>-0.59505703422053235</v>
      </c>
      <c r="M72" s="466">
        <f>'UBS Real Parque'!O16</f>
        <v>321</v>
      </c>
      <c r="N72" s="467">
        <f>'UBS Real Parque'!P16</f>
        <v>-0.38973384030418246</v>
      </c>
    </row>
    <row r="73" spans="1:14" x14ac:dyDescent="0.25">
      <c r="A73" s="475" t="str">
        <f>'UBS Real Parque'!A17</f>
        <v>Pediatra</v>
      </c>
      <c r="B73" s="469">
        <f>'UBS Real Parque'!B17</f>
        <v>789</v>
      </c>
      <c r="C73" s="466">
        <f>'UBS Real Parque'!C17</f>
        <v>439</v>
      </c>
      <c r="D73" s="467">
        <f>'UBS Real Parque'!D17</f>
        <v>-0.4435994930291508</v>
      </c>
      <c r="E73" s="466">
        <f>'UBS Real Parque'!E17</f>
        <v>522</v>
      </c>
      <c r="F73" s="467">
        <f>'UBS Real Parque'!F17</f>
        <v>-0.33840304182509506</v>
      </c>
      <c r="G73" s="466">
        <f>'UBS Real Parque'!G17</f>
        <v>501</v>
      </c>
      <c r="H73" s="467">
        <f>'UBS Real Parque'!H17</f>
        <v>-0.36501901140684412</v>
      </c>
      <c r="I73" s="466">
        <f>'UBS Real Parque'!K17</f>
        <v>394</v>
      </c>
      <c r="J73" s="467">
        <f>'UBS Real Parque'!L17</f>
        <v>-0.50063371356147024</v>
      </c>
      <c r="K73" s="466">
        <f>'UBS Real Parque'!M17</f>
        <v>549</v>
      </c>
      <c r="L73" s="467">
        <f>'UBS Real Parque'!N17</f>
        <v>-0.30418250950570347</v>
      </c>
      <c r="M73" s="466">
        <f>'UBS Real Parque'!O17</f>
        <v>495</v>
      </c>
      <c r="N73" s="467">
        <f>'UBS Real Parque'!P17</f>
        <v>-0.37262357414448666</v>
      </c>
    </row>
    <row r="74" spans="1:14" ht="15.75" thickBot="1" x14ac:dyDescent="0.3">
      <c r="A74" s="513" t="str">
        <f>'UBS Real Parque'!A18</f>
        <v>Psiaquiatra</v>
      </c>
      <c r="B74" s="510">
        <f>'UBS Real Parque'!B18</f>
        <v>166</v>
      </c>
      <c r="C74" s="511">
        <f>'UBS Real Parque'!C18</f>
        <v>0</v>
      </c>
      <c r="D74" s="506">
        <f>'UBS Real Parque'!D18</f>
        <v>-1</v>
      </c>
      <c r="E74" s="511">
        <f>'UBS Real Parque'!E18</f>
        <v>0</v>
      </c>
      <c r="F74" s="506">
        <f>'UBS Real Parque'!F18</f>
        <v>-1</v>
      </c>
      <c r="G74" s="511">
        <f>'UBS Real Parque'!G18</f>
        <v>41</v>
      </c>
      <c r="H74" s="514">
        <f>'UBS Real Parque'!H18</f>
        <v>-0.75301204819277112</v>
      </c>
      <c r="I74" s="511">
        <f>'UBS Real Parque'!K18</f>
        <v>82</v>
      </c>
      <c r="J74" s="506">
        <f>'UBS Real Parque'!L18</f>
        <v>-0.50602409638554224</v>
      </c>
      <c r="K74" s="511">
        <f>'UBS Real Parque'!M18</f>
        <v>95</v>
      </c>
      <c r="L74" s="506">
        <f>'UBS Real Parque'!N18</f>
        <v>-0.42771084337349397</v>
      </c>
      <c r="M74" s="511">
        <f>'UBS Real Parque'!O18</f>
        <v>80</v>
      </c>
      <c r="N74" s="514">
        <f>'UBS Real Parque'!P18</f>
        <v>-0.51807228915662651</v>
      </c>
    </row>
    <row r="75" spans="1:14" ht="15.75" thickBot="1" x14ac:dyDescent="0.3">
      <c r="A75" s="488" t="str">
        <f>'UBS Real Parque'!A19</f>
        <v>SOMA</v>
      </c>
      <c r="B75" s="515">
        <f>'UBS Real Parque'!B19</f>
        <v>6141</v>
      </c>
      <c r="C75" s="490">
        <f>'UBS Real Parque'!C19</f>
        <v>3104</v>
      </c>
      <c r="D75" s="491">
        <f>'UBS Real Parque'!D19</f>
        <v>-0.49454486240026052</v>
      </c>
      <c r="E75" s="490">
        <f>'UBS Real Parque'!E19</f>
        <v>3979</v>
      </c>
      <c r="F75" s="491">
        <f>'UBS Real Parque'!F19</f>
        <v>-0.35205992509363293</v>
      </c>
      <c r="G75" s="490">
        <f>'UBS Real Parque'!G19</f>
        <v>4187</v>
      </c>
      <c r="H75" s="516">
        <f>'UBS Real Parque'!H19</f>
        <v>-0.31818921999674321</v>
      </c>
      <c r="I75" s="490">
        <f>'UBS Real Parque'!K19</f>
        <v>3763</v>
      </c>
      <c r="J75" s="491">
        <f>'UBS Real Parque'!L19</f>
        <v>-0.38723334961732614</v>
      </c>
      <c r="K75" s="490">
        <f>'UBS Real Parque'!M19</f>
        <v>3225</v>
      </c>
      <c r="L75" s="491">
        <f>'UBS Real Parque'!N19</f>
        <v>-0.47484123106985832</v>
      </c>
      <c r="M75" s="490">
        <f>'UBS Real Parque'!O19</f>
        <v>3439</v>
      </c>
      <c r="N75" s="516">
        <f>'UBS Real Parque'!P19</f>
        <v>-0.43999348640286595</v>
      </c>
    </row>
    <row r="77" spans="1:14" ht="15.75" x14ac:dyDescent="0.25">
      <c r="A77" s="627" t="s">
        <v>275</v>
      </c>
      <c r="B77" s="628"/>
      <c r="C77" s="628"/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</row>
    <row r="78" spans="1:14" ht="24.75" thickBot="1" x14ac:dyDescent="0.3">
      <c r="A78" s="507" t="s">
        <v>12</v>
      </c>
      <c r="B78" s="508" t="s">
        <v>13</v>
      </c>
      <c r="C78" s="461" t="s">
        <v>260</v>
      </c>
      <c r="D78" s="463" t="s">
        <v>1</v>
      </c>
      <c r="E78" s="461" t="s">
        <v>261</v>
      </c>
      <c r="F78" s="463" t="s">
        <v>1</v>
      </c>
      <c r="G78" s="461" t="s">
        <v>2</v>
      </c>
      <c r="H78" s="463" t="s">
        <v>1</v>
      </c>
      <c r="I78" s="461" t="s">
        <v>3</v>
      </c>
      <c r="J78" s="463" t="s">
        <v>1</v>
      </c>
      <c r="K78" s="461" t="s">
        <v>4</v>
      </c>
      <c r="L78" s="463" t="s">
        <v>1</v>
      </c>
      <c r="M78" s="461" t="s">
        <v>5</v>
      </c>
      <c r="N78" s="463" t="s">
        <v>1</v>
      </c>
    </row>
    <row r="79" spans="1:14" ht="15.75" thickTop="1" x14ac:dyDescent="0.25">
      <c r="A79" s="509" t="str">
        <f>'UBS Sao Remo'!A7</f>
        <v>ACS</v>
      </c>
      <c r="B79" s="469">
        <f>'UBS Sao Remo'!B7</f>
        <v>3600</v>
      </c>
      <c r="C79" s="466">
        <f>'UBS Sao Remo'!C7</f>
        <v>2533</v>
      </c>
      <c r="D79" s="467">
        <f>'UBS Sao Remo'!D7</f>
        <v>-0.29638888888888892</v>
      </c>
      <c r="E79" s="466">
        <f>'UBS Sao Remo'!E7</f>
        <v>7613</v>
      </c>
      <c r="F79" s="467">
        <f>'UBS Sao Remo'!F7</f>
        <v>1.1147222222222224</v>
      </c>
      <c r="G79" s="466">
        <f>'UBS Sao Remo'!G7</f>
        <v>2457</v>
      </c>
      <c r="H79" s="467">
        <f>'UBS Sao Remo'!H7</f>
        <v>-0.3175</v>
      </c>
      <c r="I79" s="466">
        <f>'UBS Sao Remo'!K7</f>
        <v>2471</v>
      </c>
      <c r="J79" s="467">
        <f>'UBS Sao Remo'!L7</f>
        <v>-0.31361111111111106</v>
      </c>
      <c r="K79" s="466">
        <f>'UBS Sao Remo'!M7</f>
        <v>3114</v>
      </c>
      <c r="L79" s="467">
        <f>'UBS Sao Remo'!N7</f>
        <v>-0.13500000000000001</v>
      </c>
      <c r="M79" s="466">
        <f>'UBS Sao Remo'!O7</f>
        <v>3013</v>
      </c>
      <c r="N79" s="467">
        <f>'UBS Sao Remo'!P7</f>
        <v>-0.16305555555555551</v>
      </c>
    </row>
    <row r="80" spans="1:14" x14ac:dyDescent="0.25">
      <c r="A80" s="509" t="str">
        <f>'UBS Sao Remo'!A8</f>
        <v>Médico Generalista</v>
      </c>
      <c r="B80" s="469">
        <f>'UBS Sao Remo'!B8</f>
        <v>1248</v>
      </c>
      <c r="C80" s="466">
        <f>'UBS Sao Remo'!C8</f>
        <v>537</v>
      </c>
      <c r="D80" s="467">
        <f>'UBS Sao Remo'!D8</f>
        <v>-0.56971153846153844</v>
      </c>
      <c r="E80" s="466">
        <f>'UBS Sao Remo'!E8</f>
        <v>1011</v>
      </c>
      <c r="F80" s="467">
        <f>'UBS Sao Remo'!F8</f>
        <v>-0.18990384615384615</v>
      </c>
      <c r="G80" s="466">
        <f>'UBS Sao Remo'!G8</f>
        <v>1186</v>
      </c>
      <c r="H80" s="467">
        <f>'UBS Sao Remo'!H8</f>
        <v>-4.9679487179487225E-2</v>
      </c>
      <c r="I80" s="466">
        <f>'UBS Sao Remo'!K8</f>
        <v>1208</v>
      </c>
      <c r="J80" s="467">
        <f>'UBS Sao Remo'!L8</f>
        <v>-3.2051282051282048E-2</v>
      </c>
      <c r="K80" s="466">
        <f>'UBS Sao Remo'!M8</f>
        <v>1196</v>
      </c>
      <c r="L80" s="467">
        <f>'UBS Sao Remo'!N8</f>
        <v>-4.166666666666663E-2</v>
      </c>
      <c r="M80" s="466">
        <f>'UBS Sao Remo'!O8</f>
        <v>868</v>
      </c>
      <c r="N80" s="467">
        <f>'UBS Sao Remo'!P8</f>
        <v>-0.30448717948717952</v>
      </c>
    </row>
    <row r="81" spans="1:14" x14ac:dyDescent="0.25">
      <c r="A81" s="509" t="str">
        <f>'UBS Sao Remo'!A9</f>
        <v>Enfermeiro - ESF</v>
      </c>
      <c r="B81" s="469">
        <f>'UBS Sao Remo'!B9</f>
        <v>468</v>
      </c>
      <c r="C81" s="466">
        <f>'UBS Sao Remo'!C9</f>
        <v>450</v>
      </c>
      <c r="D81" s="467">
        <f>'UBS Sao Remo'!D9</f>
        <v>-3.8461538461538436E-2</v>
      </c>
      <c r="E81" s="466">
        <f>'UBS Sao Remo'!E9</f>
        <v>553</v>
      </c>
      <c r="F81" s="467">
        <f>'UBS Sao Remo'!F9</f>
        <v>0.18162393162393164</v>
      </c>
      <c r="G81" s="466">
        <f>'UBS Sao Remo'!G9</f>
        <v>542</v>
      </c>
      <c r="H81" s="467">
        <f>'UBS Sao Remo'!H9</f>
        <v>0.15811965811965822</v>
      </c>
      <c r="I81" s="466">
        <f>'UBS Sao Remo'!K9</f>
        <v>566</v>
      </c>
      <c r="J81" s="467">
        <f>'UBS Sao Remo'!L9</f>
        <v>0.20940170940170932</v>
      </c>
      <c r="K81" s="466">
        <f>'UBS Sao Remo'!M9</f>
        <v>351</v>
      </c>
      <c r="L81" s="467">
        <f>'UBS Sao Remo'!N9</f>
        <v>-0.25</v>
      </c>
      <c r="M81" s="466">
        <f>'UBS Sao Remo'!O9</f>
        <v>526</v>
      </c>
      <c r="N81" s="467">
        <f>'UBS Sao Remo'!P9</f>
        <v>0.12393162393162394</v>
      </c>
    </row>
    <row r="82" spans="1:14" x14ac:dyDescent="0.25">
      <c r="A82" s="517" t="str">
        <f>'UBS Sao Remo'!A10</f>
        <v>Clínico Geral</v>
      </c>
      <c r="B82" s="510">
        <f>'UBS Sao Remo'!B10</f>
        <v>526</v>
      </c>
      <c r="C82" s="511">
        <f>'UBS Sao Remo'!C10</f>
        <v>205</v>
      </c>
      <c r="D82" s="467">
        <f>'UBS Sao Remo'!D10</f>
        <v>-0.61026615969581743</v>
      </c>
      <c r="E82" s="511">
        <f>'UBS Sao Remo'!E10</f>
        <v>329</v>
      </c>
      <c r="F82" s="467">
        <f>'UBS Sao Remo'!F10</f>
        <v>-0.37452471482889738</v>
      </c>
      <c r="G82" s="511">
        <f>'UBS Sao Remo'!G10</f>
        <v>221</v>
      </c>
      <c r="H82" s="506">
        <f>'UBS Sao Remo'!H10</f>
        <v>-0.57984790874524716</v>
      </c>
      <c r="I82" s="511">
        <f>'UBS Sao Remo'!K10</f>
        <v>148</v>
      </c>
      <c r="J82" s="506">
        <f>'UBS Sao Remo'!L10</f>
        <v>-0.71863117870722437</v>
      </c>
      <c r="K82" s="511">
        <f>'UBS Sao Remo'!M10</f>
        <v>189</v>
      </c>
      <c r="L82" s="506">
        <f>'UBS Sao Remo'!N10</f>
        <v>-0.64068441064638781</v>
      </c>
      <c r="M82" s="511">
        <f>'UBS Sao Remo'!O10</f>
        <v>334</v>
      </c>
      <c r="N82" s="506">
        <f>'UBS Sao Remo'!P10</f>
        <v>-0.36501901140684412</v>
      </c>
    </row>
    <row r="83" spans="1:14" x14ac:dyDescent="0.25">
      <c r="A83" s="512" t="str">
        <f>'UBS Sao Remo'!A11</f>
        <v>Tocoginecologista</v>
      </c>
      <c r="B83" s="510">
        <f>'UBS Sao Remo'!B11</f>
        <v>263</v>
      </c>
      <c r="C83" s="511">
        <f>'UBS Sao Remo'!C11</f>
        <v>220</v>
      </c>
      <c r="D83" s="467">
        <f>'UBS Sao Remo'!D11</f>
        <v>-0.16349809885931554</v>
      </c>
      <c r="E83" s="511">
        <f>'UBS Sao Remo'!E11</f>
        <v>235</v>
      </c>
      <c r="F83" s="467">
        <f>'UBS Sao Remo'!F11</f>
        <v>-0.10646387832699622</v>
      </c>
      <c r="G83" s="511">
        <f>'UBS Sao Remo'!G11</f>
        <v>168</v>
      </c>
      <c r="H83" s="506">
        <f>'UBS Sao Remo'!H11</f>
        <v>-0.36121673003802279</v>
      </c>
      <c r="I83" s="511">
        <f>'UBS Sao Remo'!K11</f>
        <v>148</v>
      </c>
      <c r="J83" s="506">
        <f>'UBS Sao Remo'!L11</f>
        <v>-0.43726235741444863</v>
      </c>
      <c r="K83" s="511">
        <f>'UBS Sao Remo'!M11</f>
        <v>162</v>
      </c>
      <c r="L83" s="506">
        <f>'UBS Sao Remo'!N11</f>
        <v>-0.38403041825095052</v>
      </c>
      <c r="M83" s="511">
        <f>'UBS Sao Remo'!O11</f>
        <v>193</v>
      </c>
      <c r="N83" s="506">
        <f>'UBS Sao Remo'!P11</f>
        <v>-0.26615969581749055</v>
      </c>
    </row>
    <row r="84" spans="1:14" x14ac:dyDescent="0.25">
      <c r="A84" s="475" t="str">
        <f>'UBS Sao Remo'!A12</f>
        <v>Pediatra</v>
      </c>
      <c r="B84" s="469">
        <f>'UBS Sao Remo'!B12</f>
        <v>263</v>
      </c>
      <c r="C84" s="466">
        <f>'UBS Sao Remo'!C12</f>
        <v>218</v>
      </c>
      <c r="D84" s="467">
        <f>'UBS Sao Remo'!D12</f>
        <v>-0.17110266159695819</v>
      </c>
      <c r="E84" s="466">
        <f>'UBS Sao Remo'!E12</f>
        <v>260</v>
      </c>
      <c r="F84" s="467">
        <f>'UBS Sao Remo'!F12</f>
        <v>-1.1406844106463865E-2</v>
      </c>
      <c r="G84" s="466">
        <f>'UBS Sao Remo'!G12</f>
        <v>161</v>
      </c>
      <c r="H84" s="467">
        <f>'UBS Sao Remo'!H12</f>
        <v>-0.38783269961977185</v>
      </c>
      <c r="I84" s="466">
        <f>'UBS Sao Remo'!K12</f>
        <v>172</v>
      </c>
      <c r="J84" s="467">
        <f>'UBS Sao Remo'!L12</f>
        <v>-0.3460076045627376</v>
      </c>
      <c r="K84" s="466">
        <f>'UBS Sao Remo'!M12</f>
        <v>168</v>
      </c>
      <c r="L84" s="467">
        <f>'UBS Sao Remo'!N12</f>
        <v>-0.36121673003802279</v>
      </c>
      <c r="M84" s="466">
        <f>'UBS Sao Remo'!O12</f>
        <v>168</v>
      </c>
      <c r="N84" s="467">
        <f>'UBS Sao Remo'!P12</f>
        <v>-0.36121673003802279</v>
      </c>
    </row>
    <row r="85" spans="1:14" x14ac:dyDescent="0.25">
      <c r="A85" s="475" t="str">
        <f>'UBS Sao Remo'!A13</f>
        <v>Psiquiatra</v>
      </c>
      <c r="B85" s="469">
        <f>'UBS Sao Remo'!B13</f>
        <v>166</v>
      </c>
      <c r="C85" s="466">
        <f>'UBS Sao Remo'!C13</f>
        <v>0</v>
      </c>
      <c r="D85" s="467">
        <f>'UBS Sao Remo'!D13</f>
        <v>-1</v>
      </c>
      <c r="E85" s="466">
        <f>'UBS Sao Remo'!E13</f>
        <v>40</v>
      </c>
      <c r="F85" s="467">
        <f>'UBS Sao Remo'!F13</f>
        <v>-0.75903614457831325</v>
      </c>
      <c r="G85" s="466">
        <f>'UBS Sao Remo'!G13</f>
        <v>63</v>
      </c>
      <c r="H85" s="467">
        <f>'UBS Sao Remo'!H13</f>
        <v>-0.62048192771084332</v>
      </c>
      <c r="I85" s="466">
        <f>'UBS Sao Remo'!K13</f>
        <v>55</v>
      </c>
      <c r="J85" s="467">
        <f>'UBS Sao Remo'!L13</f>
        <v>-0.66867469879518071</v>
      </c>
      <c r="K85" s="466">
        <f>'UBS Sao Remo'!M13</f>
        <v>74</v>
      </c>
      <c r="L85" s="467">
        <f>'UBS Sao Remo'!N13</f>
        <v>-0.55421686746987953</v>
      </c>
      <c r="M85" s="466">
        <f>'UBS Sao Remo'!O13</f>
        <v>76</v>
      </c>
      <c r="N85" s="467">
        <f>'UBS Sao Remo'!P13</f>
        <v>-0.54216867469879526</v>
      </c>
    </row>
    <row r="86" spans="1:14" ht="24" x14ac:dyDescent="0.25">
      <c r="A86" s="464" t="str">
        <f>'UBS Sao Remo'!A14</f>
        <v>Cirurgião Dentista II (atendimento individual)</v>
      </c>
      <c r="B86" s="469">
        <f>'UBS Sao Remo'!B14</f>
        <v>208</v>
      </c>
      <c r="C86" s="466">
        <f>'UBS Sao Remo'!C14</f>
        <v>0</v>
      </c>
      <c r="D86" s="467">
        <f>'UBS Sao Remo'!D14</f>
        <v>-1</v>
      </c>
      <c r="E86" s="466">
        <f>'UBS Sao Remo'!E14</f>
        <v>0</v>
      </c>
      <c r="F86" s="467">
        <f>'UBS Sao Remo'!F14</f>
        <v>-1</v>
      </c>
      <c r="G86" s="466">
        <f>'UBS Sao Remo'!G14</f>
        <v>81</v>
      </c>
      <c r="H86" s="467">
        <f>'UBS Sao Remo'!H14</f>
        <v>-0.61057692307692313</v>
      </c>
      <c r="I86" s="466">
        <f>'UBS Sao Remo'!K14</f>
        <v>137</v>
      </c>
      <c r="J86" s="467">
        <f>'UBS Sao Remo'!L14</f>
        <v>-0.34134615384615385</v>
      </c>
      <c r="K86" s="466">
        <f>'UBS Sao Remo'!M14</f>
        <v>46</v>
      </c>
      <c r="L86" s="467">
        <f>'UBS Sao Remo'!N14</f>
        <v>-0.77884615384615385</v>
      </c>
      <c r="M86" s="466">
        <f>'UBS Sao Remo'!O14</f>
        <v>23</v>
      </c>
      <c r="N86" s="467">
        <f>'UBS Sao Remo'!P14</f>
        <v>-0.88942307692307687</v>
      </c>
    </row>
    <row r="87" spans="1:14" ht="24" x14ac:dyDescent="0.25">
      <c r="A87" s="570" t="str">
        <f>'UBS Sao Remo'!A15</f>
        <v>Cirurgião Dentista II (procedimeto individual)</v>
      </c>
      <c r="B87" s="510">
        <f>'UBS Sao Remo'!B15</f>
        <v>1248</v>
      </c>
      <c r="C87" s="511">
        <f>'UBS Sao Remo'!C15</f>
        <v>0</v>
      </c>
      <c r="D87" s="506">
        <f>'UBS Sao Remo'!D15</f>
        <v>-1</v>
      </c>
      <c r="E87" s="511">
        <f>'UBS Sao Remo'!E15</f>
        <v>0</v>
      </c>
      <c r="F87" s="506">
        <f>'UBS Sao Remo'!F15</f>
        <v>-1</v>
      </c>
      <c r="G87" s="511">
        <f>'UBS Sao Remo'!G15</f>
        <v>278</v>
      </c>
      <c r="H87" s="506">
        <f>'UBS Sao Remo'!H15</f>
        <v>-0.77724358974358976</v>
      </c>
      <c r="I87" s="511">
        <f>'UBS Sao Remo'!K15</f>
        <v>238</v>
      </c>
      <c r="J87" s="506">
        <f>'UBS Sao Remo'!L15</f>
        <v>-0.80929487179487181</v>
      </c>
      <c r="K87" s="511">
        <f>'UBS Sao Remo'!M15</f>
        <v>103</v>
      </c>
      <c r="L87" s="506">
        <f>'UBS Sao Remo'!N15</f>
        <v>-0.91746794871794868</v>
      </c>
      <c r="M87" s="511">
        <f>'UBS Sao Remo'!O15</f>
        <v>40</v>
      </c>
      <c r="N87" s="506">
        <f>'UBS Sao Remo'!P15</f>
        <v>-0.96794871794871795</v>
      </c>
    </row>
    <row r="88" spans="1:14" ht="24" x14ac:dyDescent="0.25">
      <c r="A88" s="464" t="str">
        <f>'UBS Sao Remo'!A16</f>
        <v>Cirurgião Dentista (atendimento i ndividual)</v>
      </c>
      <c r="B88" s="469">
        <f>'UBS Sao Remo'!B16</f>
        <v>111</v>
      </c>
      <c r="C88" s="466">
        <f>'UBS Sao Remo'!C16</f>
        <v>0</v>
      </c>
      <c r="D88" s="467">
        <f>'UBS Sao Remo'!D16</f>
        <v>-1</v>
      </c>
      <c r="E88" s="466">
        <f>'UBS Sao Remo'!E16</f>
        <v>0</v>
      </c>
      <c r="F88" s="467">
        <f>'UBS Sao Remo'!F16</f>
        <v>-1</v>
      </c>
      <c r="G88" s="466">
        <f>'UBS Sao Remo'!G16</f>
        <v>34</v>
      </c>
      <c r="H88" s="467">
        <f>'UBS Sao Remo'!H16</f>
        <v>-0.69369369369369371</v>
      </c>
      <c r="I88" s="466">
        <f>'UBS Sao Remo'!K16</f>
        <v>82</v>
      </c>
      <c r="J88" s="467">
        <f>'UBS Sao Remo'!L16</f>
        <v>-0.26126126126126126</v>
      </c>
      <c r="K88" s="466">
        <f>'UBS Sao Remo'!M16</f>
        <v>27</v>
      </c>
      <c r="L88" s="467">
        <f>'UBS Sao Remo'!N16</f>
        <v>-0.7567567567567568</v>
      </c>
      <c r="M88" s="466">
        <f>'UBS Sao Remo'!O16</f>
        <v>48</v>
      </c>
      <c r="N88" s="467">
        <f>'UBS Sao Remo'!P16</f>
        <v>-0.56756756756756754</v>
      </c>
    </row>
    <row r="89" spans="1:14" ht="24.75" thickBot="1" x14ac:dyDescent="0.3">
      <c r="A89" s="572" t="str">
        <f>'UBS Sao Remo'!A17</f>
        <v>Cirurgião Dentista (prodecimento individual)</v>
      </c>
      <c r="B89" s="518">
        <f>'UBS Sao Remo'!B17</f>
        <v>444</v>
      </c>
      <c r="C89" s="519">
        <f>'UBS Sao Remo'!C17</f>
        <v>0</v>
      </c>
      <c r="D89" s="520">
        <f>'UBS Sao Remo'!D17</f>
        <v>-1</v>
      </c>
      <c r="E89" s="519">
        <f>'UBS Sao Remo'!E17</f>
        <v>0</v>
      </c>
      <c r="F89" s="520">
        <f>'UBS Sao Remo'!F17</f>
        <v>-1</v>
      </c>
      <c r="G89" s="519">
        <f>'UBS Sao Remo'!G17</f>
        <v>133</v>
      </c>
      <c r="H89" s="520">
        <f>'UBS Sao Remo'!H17</f>
        <v>-0.70045045045045051</v>
      </c>
      <c r="I89" s="519">
        <f>'UBS Sao Remo'!K17</f>
        <v>217</v>
      </c>
      <c r="J89" s="520">
        <f>'UBS Sao Remo'!L17</f>
        <v>-0.51126126126126126</v>
      </c>
      <c r="K89" s="519">
        <f>'UBS Sao Remo'!M17</f>
        <v>28</v>
      </c>
      <c r="L89" s="520">
        <f>'UBS Sao Remo'!N17</f>
        <v>-0.93693693693693691</v>
      </c>
      <c r="M89" s="519">
        <f>'UBS Sao Remo'!O17</f>
        <v>62</v>
      </c>
      <c r="N89" s="520">
        <f>'UBS Sao Remo'!P17</f>
        <v>-0.86036036036036034</v>
      </c>
    </row>
    <row r="90" spans="1:14" ht="15.75" thickBot="1" x14ac:dyDescent="0.3">
      <c r="A90" s="488" t="str">
        <f>'UBS Sao Remo'!A18</f>
        <v>SOMA</v>
      </c>
      <c r="B90" s="515">
        <f>'UBS Sao Remo'!B18</f>
        <v>8545</v>
      </c>
      <c r="C90" s="490">
        <f>'UBS Sao Remo'!C18</f>
        <v>4163</v>
      </c>
      <c r="D90" s="491">
        <f>'UBS Sao Remo'!D18</f>
        <v>-0.51281451141018142</v>
      </c>
      <c r="E90" s="490">
        <f>'UBS Sao Remo'!E18</f>
        <v>10041</v>
      </c>
      <c r="F90" s="491">
        <f>'UBS Sao Remo'!F18</f>
        <v>0.17507314218841419</v>
      </c>
      <c r="G90" s="490">
        <f>'UBS Sao Remo'!G18</f>
        <v>5324</v>
      </c>
      <c r="H90" s="516">
        <f>'UBS Sao Remo'!H18</f>
        <v>-0.37694558221181973</v>
      </c>
      <c r="I90" s="490">
        <f>'UBS Sao Remo'!K18</f>
        <v>5442</v>
      </c>
      <c r="J90" s="491">
        <f>'UBS Sao Remo'!L18</f>
        <v>-0.36313633703920423</v>
      </c>
      <c r="K90" s="490">
        <f>'UBS Sao Remo'!M18</f>
        <v>5458</v>
      </c>
      <c r="L90" s="491">
        <f>'UBS Sao Remo'!N18</f>
        <v>-0.36126389701579875</v>
      </c>
      <c r="M90" s="490">
        <f>'UBS Sao Remo'!O18</f>
        <v>5351</v>
      </c>
      <c r="N90" s="516">
        <f>'UBS Sao Remo'!P18</f>
        <v>-0.37378583967232304</v>
      </c>
    </row>
    <row r="92" spans="1:14" ht="15.75" x14ac:dyDescent="0.25">
      <c r="A92" s="627" t="s">
        <v>212</v>
      </c>
      <c r="B92" s="628"/>
      <c r="C92" s="628"/>
      <c r="D92" s="628"/>
      <c r="E92" s="628"/>
      <c r="F92" s="628"/>
      <c r="G92" s="628"/>
      <c r="H92" s="628"/>
      <c r="I92" s="628"/>
      <c r="J92" s="628"/>
      <c r="K92" s="628"/>
      <c r="L92" s="628"/>
      <c r="M92" s="628"/>
      <c r="N92" s="628"/>
    </row>
    <row r="93" spans="1:14" ht="24.75" thickBot="1" x14ac:dyDescent="0.3">
      <c r="A93" s="521" t="s">
        <v>12</v>
      </c>
      <c r="B93" s="522" t="s">
        <v>13</v>
      </c>
      <c r="C93" s="461" t="s">
        <v>260</v>
      </c>
      <c r="D93" s="463" t="s">
        <v>1</v>
      </c>
      <c r="E93" s="461" t="s">
        <v>261</v>
      </c>
      <c r="F93" s="463" t="s">
        <v>1</v>
      </c>
      <c r="G93" s="461" t="s">
        <v>2</v>
      </c>
      <c r="H93" s="463" t="s">
        <v>1</v>
      </c>
      <c r="I93" s="461" t="s">
        <v>3</v>
      </c>
      <c r="J93" s="463" t="s">
        <v>1</v>
      </c>
      <c r="K93" s="461" t="s">
        <v>4</v>
      </c>
      <c r="L93" s="463" t="s">
        <v>1</v>
      </c>
      <c r="M93" s="461" t="s">
        <v>5</v>
      </c>
      <c r="N93" s="463" t="s">
        <v>1</v>
      </c>
    </row>
    <row r="94" spans="1:14" ht="24.75" thickTop="1" x14ac:dyDescent="0.25">
      <c r="A94" s="571" t="str">
        <f>'AMA e UBS Vila Sonia'!A7</f>
        <v>Cirurgião Dentista (atendimento individual) UBS</v>
      </c>
      <c r="B94" s="479">
        <f>'AMA e UBS Vila Sonia'!B7</f>
        <v>666</v>
      </c>
      <c r="C94" s="480">
        <f>'AMA e UBS Vila Sonia'!C7</f>
        <v>270</v>
      </c>
      <c r="D94" s="497">
        <f>'AMA e UBS Vila Sonia'!D7</f>
        <v>-0.59459459459459452</v>
      </c>
      <c r="E94" s="482">
        <f>'AMA e UBS Vila Sonia'!E7</f>
        <v>426</v>
      </c>
      <c r="F94" s="497">
        <f>'AMA e UBS Vila Sonia'!F7</f>
        <v>-0.36036036036036034</v>
      </c>
      <c r="G94" s="482">
        <f>'AMA e UBS Vila Sonia'!G7</f>
        <v>350</v>
      </c>
      <c r="H94" s="497">
        <f>'AMA e UBS Vila Sonia'!H7</f>
        <v>-0.47447447447447444</v>
      </c>
      <c r="I94" s="482">
        <f>'AMA e UBS Vila Sonia'!K7</f>
        <v>315</v>
      </c>
      <c r="J94" s="497">
        <f>'AMA e UBS Vila Sonia'!L7</f>
        <v>-0.52702702702702697</v>
      </c>
      <c r="K94" s="482">
        <f>'AMA e UBS Vila Sonia'!M7</f>
        <v>102</v>
      </c>
      <c r="L94" s="497">
        <f>'AMA e UBS Vila Sonia'!N7</f>
        <v>-0.84684684684684686</v>
      </c>
      <c r="M94" s="482">
        <f>'AMA e UBS Vila Sonia'!O7</f>
        <v>55</v>
      </c>
      <c r="N94" s="497">
        <f>'AMA e UBS Vila Sonia'!P7</f>
        <v>-0.91741741741741745</v>
      </c>
    </row>
    <row r="95" spans="1:14" ht="24" x14ac:dyDescent="0.25">
      <c r="A95" s="571" t="str">
        <f>'AMA e UBS Vila Sonia'!A8</f>
        <v>Cirurgião Dentista (procedimento) UBS</v>
      </c>
      <c r="B95" s="523">
        <f>'AMA e UBS Vila Sonia'!B8</f>
        <v>2664</v>
      </c>
      <c r="C95" s="524">
        <f>'AMA e UBS Vila Sonia'!C8</f>
        <v>1357</v>
      </c>
      <c r="D95" s="497">
        <f>'AMA e UBS Vila Sonia'!D8</f>
        <v>-0.49061561561561562</v>
      </c>
      <c r="E95" s="487">
        <f>'AMA e UBS Vila Sonia'!E8</f>
        <v>1974</v>
      </c>
      <c r="F95" s="497">
        <f>'AMA e UBS Vila Sonia'!F8</f>
        <v>-0.25900900900900903</v>
      </c>
      <c r="G95" s="487">
        <f>'AMA e UBS Vila Sonia'!G8</f>
        <v>2003</v>
      </c>
      <c r="H95" s="497">
        <f>'AMA e UBS Vila Sonia'!H8</f>
        <v>-0.24812312312312312</v>
      </c>
      <c r="I95" s="487">
        <f>'AMA e UBS Vila Sonia'!K8</f>
        <v>1785</v>
      </c>
      <c r="J95" s="497">
        <f>'AMA e UBS Vila Sonia'!L8</f>
        <v>-0.32995495495495497</v>
      </c>
      <c r="K95" s="487">
        <f>'AMA e UBS Vila Sonia'!M8</f>
        <v>860</v>
      </c>
      <c r="L95" s="497">
        <f>'AMA e UBS Vila Sonia'!N8</f>
        <v>-0.67717717717717718</v>
      </c>
      <c r="M95" s="487">
        <f>'AMA e UBS Vila Sonia'!O8</f>
        <v>131</v>
      </c>
      <c r="N95" s="497">
        <f>'AMA e UBS Vila Sonia'!P8</f>
        <v>-0.95082582582582587</v>
      </c>
    </row>
    <row r="96" spans="1:14" x14ac:dyDescent="0.25">
      <c r="A96" s="571" t="str">
        <f>'AMA e UBS Vila Sonia'!A9</f>
        <v>Clinico (consulta) UBS</v>
      </c>
      <c r="B96" s="523">
        <f>'AMA e UBS Vila Sonia'!B9</f>
        <v>1578</v>
      </c>
      <c r="C96" s="524">
        <f>'AMA e UBS Vila Sonia'!C9</f>
        <v>4029</v>
      </c>
      <c r="D96" s="497">
        <f>'AMA e UBS Vila Sonia'!D9</f>
        <v>1.5532319391634979</v>
      </c>
      <c r="E96" s="487">
        <f>'AMA e UBS Vila Sonia'!E9</f>
        <v>3861</v>
      </c>
      <c r="F96" s="497">
        <f>'AMA e UBS Vila Sonia'!F9</f>
        <v>1.4467680608365021</v>
      </c>
      <c r="G96" s="487">
        <f>'AMA e UBS Vila Sonia'!G9</f>
        <v>4765</v>
      </c>
      <c r="H96" s="497">
        <f>'AMA e UBS Vila Sonia'!H9</f>
        <v>2.0196451204055768</v>
      </c>
      <c r="I96" s="487">
        <f>'AMA e UBS Vila Sonia'!K9</f>
        <v>4439</v>
      </c>
      <c r="J96" s="497">
        <f>'AMA e UBS Vila Sonia'!L9</f>
        <v>1.8130544993662863</v>
      </c>
      <c r="K96" s="487">
        <f>'AMA e UBS Vila Sonia'!M9</f>
        <v>1403</v>
      </c>
      <c r="L96" s="497">
        <f>'AMA e UBS Vila Sonia'!N9</f>
        <v>-0.11089987325728767</v>
      </c>
      <c r="M96" s="487">
        <f>'AMA e UBS Vila Sonia'!O9</f>
        <v>1679</v>
      </c>
      <c r="N96" s="497">
        <f>'AMA e UBS Vila Sonia'!P9</f>
        <v>6.4005069708491735E-2</v>
      </c>
    </row>
    <row r="97" spans="1:14" ht="24" x14ac:dyDescent="0.25">
      <c r="A97" s="571" t="str">
        <f>'AMA e UBS Vila Sonia'!A10</f>
        <v>Tocoginecologista (consulta) UBS</v>
      </c>
      <c r="B97" s="523">
        <f>'AMA e UBS Vila Sonia'!B10</f>
        <v>1052</v>
      </c>
      <c r="C97" s="524">
        <f>'AMA e UBS Vila Sonia'!C10</f>
        <v>876</v>
      </c>
      <c r="D97" s="497">
        <f>'AMA e UBS Vila Sonia'!D10</f>
        <v>-0.16730038022813687</v>
      </c>
      <c r="E97" s="487">
        <f>'AMA e UBS Vila Sonia'!E10</f>
        <v>829</v>
      </c>
      <c r="F97" s="497">
        <f>'AMA e UBS Vila Sonia'!F10</f>
        <v>-0.21197718631178708</v>
      </c>
      <c r="G97" s="487">
        <f>'AMA e UBS Vila Sonia'!G10</f>
        <v>775</v>
      </c>
      <c r="H97" s="497">
        <f>'AMA e UBS Vila Sonia'!H10</f>
        <v>-0.26330798479087447</v>
      </c>
      <c r="I97" s="487">
        <f>'AMA e UBS Vila Sonia'!K10</f>
        <v>777</v>
      </c>
      <c r="J97" s="497">
        <f>'AMA e UBS Vila Sonia'!L10</f>
        <v>-0.26140684410646386</v>
      </c>
      <c r="K97" s="487">
        <f>'AMA e UBS Vila Sonia'!M10</f>
        <v>913</v>
      </c>
      <c r="L97" s="497">
        <f>'AMA e UBS Vila Sonia'!N10</f>
        <v>-0.13212927756653992</v>
      </c>
      <c r="M97" s="487">
        <f>'AMA e UBS Vila Sonia'!O10</f>
        <v>1021</v>
      </c>
      <c r="N97" s="497">
        <f>'AMA e UBS Vila Sonia'!P10</f>
        <v>-2.9467680608365021E-2</v>
      </c>
    </row>
    <row r="98" spans="1:14" x14ac:dyDescent="0.25">
      <c r="A98" s="525" t="str">
        <f>'AMA e UBS Vila Sonia'!A11</f>
        <v>Pediatra (consulta) UBS</v>
      </c>
      <c r="B98" s="526">
        <f>'AMA e UBS Vila Sonia'!B11</f>
        <v>789</v>
      </c>
      <c r="C98" s="527">
        <f>'AMA e UBS Vila Sonia'!C11</f>
        <v>1400</v>
      </c>
      <c r="D98" s="502">
        <f>'AMA e UBS Vila Sonia'!D11</f>
        <v>0.77439797211660322</v>
      </c>
      <c r="E98" s="487">
        <f>'AMA e UBS Vila Sonia'!E11</f>
        <v>1829</v>
      </c>
      <c r="F98" s="502">
        <f>'AMA e UBS Vila Sonia'!F11</f>
        <v>1.3181242078580482</v>
      </c>
      <c r="G98" s="487">
        <f>'AMA e UBS Vila Sonia'!G11</f>
        <v>1873</v>
      </c>
      <c r="H98" s="502">
        <f>'AMA e UBS Vila Sonia'!H11</f>
        <v>1.373891001267427</v>
      </c>
      <c r="I98" s="487">
        <f>'AMA e UBS Vila Sonia'!K11</f>
        <v>2164</v>
      </c>
      <c r="J98" s="502">
        <f>'AMA e UBS Vila Sonia'!L11</f>
        <v>1.7427122940430926</v>
      </c>
      <c r="K98" s="487">
        <f>'AMA e UBS Vila Sonia'!M11</f>
        <v>680</v>
      </c>
      <c r="L98" s="502">
        <f>'AMA e UBS Vila Sonia'!N11</f>
        <v>-0.13814955640050697</v>
      </c>
      <c r="M98" s="487">
        <f>'AMA e UBS Vila Sonia'!O11</f>
        <v>761</v>
      </c>
      <c r="N98" s="502">
        <f>'AMA e UBS Vila Sonia'!P11</f>
        <v>-3.5487959442332073E-2</v>
      </c>
    </row>
    <row r="99" spans="1:14" ht="15.75" thickBot="1" x14ac:dyDescent="0.3">
      <c r="A99" s="528" t="str">
        <f>'AMA e UBS Vila Sonia'!A12</f>
        <v>Psiquiatra (consulta) UBS</v>
      </c>
      <c r="B99" s="529">
        <f>'AMA e UBS Vila Sonia'!B12</f>
        <v>332</v>
      </c>
      <c r="C99" s="530">
        <f>'AMA e UBS Vila Sonia'!C12</f>
        <v>49</v>
      </c>
      <c r="D99" s="531">
        <f>'AMA e UBS Vila Sonia'!D12</f>
        <v>-0.85240963855421681</v>
      </c>
      <c r="E99" s="532">
        <f>'AMA e UBS Vila Sonia'!E12</f>
        <v>229</v>
      </c>
      <c r="F99" s="531">
        <f>'AMA e UBS Vila Sonia'!F12</f>
        <v>-0.31024096385542166</v>
      </c>
      <c r="G99" s="532">
        <f>'AMA e UBS Vila Sonia'!G12</f>
        <v>214</v>
      </c>
      <c r="H99" s="531">
        <f>'AMA e UBS Vila Sonia'!H12</f>
        <v>-0.35542168674698793</v>
      </c>
      <c r="I99" s="532">
        <f>'AMA e UBS Vila Sonia'!K12</f>
        <v>204</v>
      </c>
      <c r="J99" s="531">
        <f>'AMA e UBS Vila Sonia'!L12</f>
        <v>-0.38554216867469882</v>
      </c>
      <c r="K99" s="532">
        <f>'AMA e UBS Vila Sonia'!M12</f>
        <v>203</v>
      </c>
      <c r="L99" s="531">
        <f>'AMA e UBS Vila Sonia'!N12</f>
        <v>-0.38855421686746983</v>
      </c>
      <c r="M99" s="532">
        <f>'AMA e UBS Vila Sonia'!O12</f>
        <v>237</v>
      </c>
      <c r="N99" s="531">
        <f>'AMA e UBS Vila Sonia'!P12</f>
        <v>-0.28614457831325302</v>
      </c>
    </row>
    <row r="100" spans="1:14" ht="15.75" thickBot="1" x14ac:dyDescent="0.3">
      <c r="A100" s="488" t="str">
        <f>'AMA e UBS Vila Sonia'!A13</f>
        <v>SOMA</v>
      </c>
      <c r="B100" s="489">
        <f>'AMA e UBS Vila Sonia'!B13</f>
        <v>7081</v>
      </c>
      <c r="C100" s="490">
        <f>'AMA e UBS Vila Sonia'!C13</f>
        <v>7981</v>
      </c>
      <c r="D100" s="491">
        <f>'AMA e UBS Vila Sonia'!D13</f>
        <v>0.1271006919926565</v>
      </c>
      <c r="E100" s="490">
        <f>'AMA e UBS Vila Sonia'!E13</f>
        <v>9148</v>
      </c>
      <c r="F100" s="491">
        <f>'AMA e UBS Vila Sonia'!F13</f>
        <v>0.29190792260980092</v>
      </c>
      <c r="G100" s="490">
        <f>'AMA e UBS Vila Sonia'!G13</f>
        <v>9980</v>
      </c>
      <c r="H100" s="491">
        <f>'AMA e UBS Vila Sonia'!H13</f>
        <v>0.40940545120745653</v>
      </c>
      <c r="I100" s="490">
        <f>'AMA e UBS Vila Sonia'!K13</f>
        <v>9684</v>
      </c>
      <c r="J100" s="491">
        <f>'AMA e UBS Vila Sonia'!L13</f>
        <v>0.36760344584098292</v>
      </c>
      <c r="K100" s="490">
        <f>'AMA e UBS Vila Sonia'!M13</f>
        <v>4161</v>
      </c>
      <c r="L100" s="491">
        <f>'AMA e UBS Vila Sonia'!N13</f>
        <v>-0.41237113402061853</v>
      </c>
      <c r="M100" s="490">
        <f>'AMA e UBS Vila Sonia'!O13</f>
        <v>3884</v>
      </c>
      <c r="N100" s="491">
        <f>'AMA e UBS Vila Sonia'!P13</f>
        <v>-0.45148990255613619</v>
      </c>
    </row>
    <row r="102" spans="1:14" s="569" customFormat="1" ht="15.75" x14ac:dyDescent="0.25">
      <c r="A102" s="627" t="s">
        <v>246</v>
      </c>
      <c r="B102" s="628"/>
      <c r="C102" s="628"/>
      <c r="D102" s="628"/>
      <c r="E102" s="628"/>
      <c r="F102" s="628"/>
      <c r="G102" s="628"/>
      <c r="H102" s="628"/>
      <c r="I102" s="628"/>
      <c r="J102" s="628"/>
      <c r="K102" s="628"/>
      <c r="L102" s="628"/>
      <c r="M102" s="628"/>
      <c r="N102" s="628"/>
    </row>
    <row r="103" spans="1:14" s="569" customFormat="1" ht="24" x14ac:dyDescent="0.25">
      <c r="A103" s="474" t="s">
        <v>12</v>
      </c>
      <c r="B103" s="568" t="s">
        <v>13</v>
      </c>
      <c r="C103" s="461" t="s">
        <v>260</v>
      </c>
      <c r="D103" s="463" t="s">
        <v>1</v>
      </c>
      <c r="E103" s="461" t="s">
        <v>261</v>
      </c>
      <c r="F103" s="463" t="s">
        <v>1</v>
      </c>
      <c r="G103" s="461" t="s">
        <v>2</v>
      </c>
      <c r="H103" s="463" t="s">
        <v>1</v>
      </c>
      <c r="I103" s="461" t="s">
        <v>3</v>
      </c>
      <c r="J103" s="463" t="s">
        <v>1</v>
      </c>
      <c r="K103" s="461" t="s">
        <v>4</v>
      </c>
      <c r="L103" s="463" t="s">
        <v>1</v>
      </c>
      <c r="M103" s="461" t="s">
        <v>5</v>
      </c>
      <c r="N103" s="463" t="s">
        <v>1</v>
      </c>
    </row>
    <row r="104" spans="1:14" s="569" customFormat="1" x14ac:dyDescent="0.25">
      <c r="A104" s="475" t="str">
        <f>'AMA e UBS Vila Sonia'!A33</f>
        <v>Mamografia com Laudo</v>
      </c>
      <c r="B104" s="469">
        <f>'AMA e UBS Vila Sonia'!B33</f>
        <v>568</v>
      </c>
      <c r="C104" s="466">
        <f>'AMA e UBS Vila Sonia'!C33</f>
        <v>0</v>
      </c>
      <c r="D104" s="467">
        <f>'AMA e UBS Vila Sonia'!D33</f>
        <v>-1</v>
      </c>
      <c r="E104" s="466">
        <f>'AMA e UBS Vila Sonia'!E33</f>
        <v>0</v>
      </c>
      <c r="F104" s="467">
        <f>'AMA e UBS Vila Sonia'!F33</f>
        <v>-1</v>
      </c>
      <c r="G104" s="466">
        <f>'AMA e UBS Vila Sonia'!G33</f>
        <v>0</v>
      </c>
      <c r="H104" s="467">
        <f>'AMA e UBS Vila Sonia'!H33</f>
        <v>-1</v>
      </c>
      <c r="I104" s="466">
        <f>'AMA e UBS Vila Sonia'!K33</f>
        <v>0</v>
      </c>
      <c r="J104" s="467">
        <f>'AMA e UBS Vila Sonia'!L33</f>
        <v>-1</v>
      </c>
      <c r="K104" s="466">
        <f>'AMA e UBS Vila Sonia'!M33</f>
        <v>0</v>
      </c>
      <c r="L104" s="467">
        <f>'AMA e UBS Vila Sonia'!N33</f>
        <v>-1</v>
      </c>
      <c r="M104" s="466">
        <f>'AMA e UBS Vila Sonia'!O33</f>
        <v>0</v>
      </c>
      <c r="N104" s="467">
        <f>'AMA e UBS Vila Sonia'!P33</f>
        <v>-1</v>
      </c>
    </row>
    <row r="105" spans="1:14" s="569" customFormat="1" x14ac:dyDescent="0.25">
      <c r="A105" s="475" t="str">
        <f>'AMA e UBS Vila Sonia'!A34</f>
        <v>Ultrassom Geral com Laudo</v>
      </c>
      <c r="B105" s="469">
        <f>'AMA e UBS Vila Sonia'!B34</f>
        <v>660</v>
      </c>
      <c r="C105" s="466">
        <f>'AMA e UBS Vila Sonia'!C34</f>
        <v>0</v>
      </c>
      <c r="D105" s="467">
        <f>'AMA e UBS Vila Sonia'!D34</f>
        <v>-1</v>
      </c>
      <c r="E105" s="466">
        <f>'AMA e UBS Vila Sonia'!E34</f>
        <v>0</v>
      </c>
      <c r="F105" s="467">
        <f>'AMA e UBS Vila Sonia'!F34</f>
        <v>-1</v>
      </c>
      <c r="G105" s="466">
        <f>'AMA e UBS Vila Sonia'!G34</f>
        <v>0</v>
      </c>
      <c r="H105" s="467">
        <f>'AMA e UBS Vila Sonia'!H34</f>
        <v>-1</v>
      </c>
      <c r="I105" s="466">
        <f>'AMA e UBS Vila Sonia'!K34</f>
        <v>0</v>
      </c>
      <c r="J105" s="467">
        <f>'AMA e UBS Vila Sonia'!L34</f>
        <v>-1</v>
      </c>
      <c r="K105" s="466">
        <f>'AMA e UBS Vila Sonia'!M34</f>
        <v>0</v>
      </c>
      <c r="L105" s="467">
        <f>'AMA e UBS Vila Sonia'!N34</f>
        <v>-1</v>
      </c>
      <c r="M105" s="466">
        <f>'AMA e UBS Vila Sonia'!O34</f>
        <v>0</v>
      </c>
      <c r="N105" s="467">
        <f>'AMA e UBS Vila Sonia'!P34</f>
        <v>-1</v>
      </c>
    </row>
    <row r="106" spans="1:14" s="569" customFormat="1" x14ac:dyDescent="0.25">
      <c r="A106" s="476" t="str">
        <f>'AMA e UBS Vila Sonia'!A35</f>
        <v>SOMA</v>
      </c>
      <c r="B106" s="469">
        <f>'AMA e UBS Vila Sonia'!B35</f>
        <v>1228</v>
      </c>
      <c r="C106" s="473">
        <f>'AMA e UBS Vila Sonia'!C35</f>
        <v>0</v>
      </c>
      <c r="D106" s="467">
        <f>'AMA e UBS Vila Sonia'!D35</f>
        <v>-1</v>
      </c>
      <c r="E106" s="473">
        <f>'AMA e UBS Vila Sonia'!E35</f>
        <v>0</v>
      </c>
      <c r="F106" s="467">
        <f>'AMA e UBS Vila Sonia'!F35</f>
        <v>-1</v>
      </c>
      <c r="G106" s="473">
        <f>'AMA e UBS Vila Sonia'!G35</f>
        <v>0</v>
      </c>
      <c r="H106" s="467">
        <f>'AMA e UBS Vila Sonia'!H35</f>
        <v>-1</v>
      </c>
      <c r="I106" s="473">
        <f>'AMA e UBS Vila Sonia'!K35</f>
        <v>0</v>
      </c>
      <c r="J106" s="467">
        <f>'AMA e UBS Vila Sonia'!L35</f>
        <v>-1</v>
      </c>
      <c r="K106" s="473">
        <f>'AMA e UBS Vila Sonia'!M35</f>
        <v>0</v>
      </c>
      <c r="L106" s="467">
        <f>'AMA e UBS Vila Sonia'!N35</f>
        <v>-1</v>
      </c>
      <c r="M106" s="473">
        <f>'AMA e UBS Vila Sonia'!O35</f>
        <v>0</v>
      </c>
      <c r="N106" s="467">
        <f>'AMA e UBS Vila Sonia'!P35</f>
        <v>-1</v>
      </c>
    </row>
    <row r="107" spans="1:14" s="569" customFormat="1" x14ac:dyDescent="0.25">
      <c r="C107" s="577"/>
    </row>
    <row r="108" spans="1:14" ht="15.75" x14ac:dyDescent="0.25">
      <c r="A108" s="627" t="s">
        <v>208</v>
      </c>
      <c r="B108" s="628"/>
      <c r="C108" s="628"/>
      <c r="D108" s="628"/>
      <c r="E108" s="628"/>
      <c r="F108" s="628"/>
      <c r="G108" s="628"/>
      <c r="H108" s="628"/>
      <c r="I108" s="628"/>
      <c r="J108" s="628"/>
      <c r="K108" s="628"/>
      <c r="L108" s="628"/>
      <c r="M108" s="628"/>
      <c r="N108" s="628"/>
    </row>
    <row r="109" spans="1:14" ht="24.75" thickBot="1" x14ac:dyDescent="0.3">
      <c r="A109" s="533" t="s">
        <v>12</v>
      </c>
      <c r="B109" s="534" t="s">
        <v>13</v>
      </c>
      <c r="C109" s="461" t="s">
        <v>260</v>
      </c>
      <c r="D109" s="463" t="s">
        <v>1</v>
      </c>
      <c r="E109" s="461" t="s">
        <v>261</v>
      </c>
      <c r="F109" s="463" t="s">
        <v>1</v>
      </c>
      <c r="G109" s="461" t="s">
        <v>2</v>
      </c>
      <c r="H109" s="463" t="s">
        <v>1</v>
      </c>
      <c r="I109" s="461" t="s">
        <v>3</v>
      </c>
      <c r="J109" s="463" t="s">
        <v>1</v>
      </c>
      <c r="K109" s="461" t="s">
        <v>4</v>
      </c>
      <c r="L109" s="463" t="s">
        <v>1</v>
      </c>
      <c r="M109" s="461" t="s">
        <v>5</v>
      </c>
      <c r="N109" s="463" t="s">
        <v>1</v>
      </c>
    </row>
    <row r="110" spans="1:14" ht="15.75" thickTop="1" x14ac:dyDescent="0.25">
      <c r="A110" s="535" t="str">
        <f>'AMA_ UBS e NASF Paulo VI'!A7</f>
        <v>ACS</v>
      </c>
      <c r="B110" s="479">
        <f>'AMA_ UBS e NASF Paulo VI'!B7</f>
        <v>7200</v>
      </c>
      <c r="C110" s="480">
        <f>'AMA_ UBS e NASF Paulo VI'!C7</f>
        <v>5727</v>
      </c>
      <c r="D110" s="497">
        <f>'AMA_ UBS e NASF Paulo VI'!D7</f>
        <v>-0.20458333333333334</v>
      </c>
      <c r="E110" s="482">
        <f>'AMA_ UBS e NASF Paulo VI'!E7</f>
        <v>6083</v>
      </c>
      <c r="F110" s="497">
        <f>'AMA_ UBS e NASF Paulo VI'!F7</f>
        <v>-0.15513888888888894</v>
      </c>
      <c r="G110" s="482">
        <f>'AMA_ UBS e NASF Paulo VI'!G7</f>
        <v>5596</v>
      </c>
      <c r="H110" s="497">
        <f>'AMA_ UBS e NASF Paulo VI'!H7</f>
        <v>-0.22277777777777774</v>
      </c>
      <c r="I110" s="482">
        <f>'AMA_ UBS e NASF Paulo VI'!K7</f>
        <v>6484</v>
      </c>
      <c r="J110" s="497">
        <f>'AMA_ UBS e NASF Paulo VI'!L7</f>
        <v>-9.9444444444444446E-2</v>
      </c>
      <c r="K110" s="482">
        <f>'AMA_ UBS e NASF Paulo VI'!M7</f>
        <v>6714</v>
      </c>
      <c r="L110" s="497">
        <f>'AMA_ UBS e NASF Paulo VI'!N7</f>
        <v>-6.7500000000000004E-2</v>
      </c>
      <c r="M110" s="482">
        <f>'AMA_ UBS e NASF Paulo VI'!O7</f>
        <v>6241</v>
      </c>
      <c r="N110" s="497">
        <f>'AMA_ UBS e NASF Paulo VI'!P7</f>
        <v>-0.13319444444444439</v>
      </c>
    </row>
    <row r="111" spans="1:14" x14ac:dyDescent="0.25">
      <c r="A111" s="535" t="str">
        <f>'AMA_ UBS e NASF Paulo VI'!A8</f>
        <v>Médico Generalista</v>
      </c>
      <c r="B111" s="536">
        <f>'AMA_ UBS e NASF Paulo VI'!B8</f>
        <v>2496</v>
      </c>
      <c r="C111" s="537">
        <f>'AMA_ UBS e NASF Paulo VI'!C8</f>
        <v>1402</v>
      </c>
      <c r="D111" s="497">
        <f>'AMA_ UBS e NASF Paulo VI'!D8</f>
        <v>-0.43830128205128205</v>
      </c>
      <c r="E111" s="487">
        <f>'AMA_ UBS e NASF Paulo VI'!E8</f>
        <v>1170</v>
      </c>
      <c r="F111" s="497">
        <f>'AMA_ UBS e NASF Paulo VI'!F8</f>
        <v>-0.53125</v>
      </c>
      <c r="G111" s="487">
        <f>'AMA_ UBS e NASF Paulo VI'!G8</f>
        <v>1303</v>
      </c>
      <c r="H111" s="497">
        <f>'AMA_ UBS e NASF Paulo VI'!H8</f>
        <v>-0.47796474358974361</v>
      </c>
      <c r="I111" s="487">
        <f>'AMA_ UBS e NASF Paulo VI'!K8</f>
        <v>1462</v>
      </c>
      <c r="J111" s="497">
        <f>'AMA_ UBS e NASF Paulo VI'!L8</f>
        <v>-0.41426282051282048</v>
      </c>
      <c r="K111" s="487">
        <f>'AMA_ UBS e NASF Paulo VI'!M8</f>
        <v>1398</v>
      </c>
      <c r="L111" s="497">
        <f>'AMA_ UBS e NASF Paulo VI'!N8</f>
        <v>-0.43990384615384615</v>
      </c>
      <c r="M111" s="487">
        <f>'AMA_ UBS e NASF Paulo VI'!O8</f>
        <v>1373</v>
      </c>
      <c r="N111" s="497">
        <f>'AMA_ UBS e NASF Paulo VI'!P8</f>
        <v>-0.44991987179487181</v>
      </c>
    </row>
    <row r="112" spans="1:14" x14ac:dyDescent="0.25">
      <c r="A112" s="535" t="str">
        <f>'AMA_ UBS e NASF Paulo VI'!A9</f>
        <v>Enfermeiro  - ESF</v>
      </c>
      <c r="B112" s="536">
        <f>'AMA_ UBS e NASF Paulo VI'!B9</f>
        <v>936</v>
      </c>
      <c r="C112" s="537">
        <f>'AMA_ UBS e NASF Paulo VI'!C9</f>
        <v>1187</v>
      </c>
      <c r="D112" s="497">
        <f>'AMA_ UBS e NASF Paulo VI'!D9</f>
        <v>0.2681623931623931</v>
      </c>
      <c r="E112" s="487">
        <f>'AMA_ UBS e NASF Paulo VI'!E9</f>
        <v>1116</v>
      </c>
      <c r="F112" s="497">
        <f>'AMA_ UBS e NASF Paulo VI'!F9</f>
        <v>0.19230769230769229</v>
      </c>
      <c r="G112" s="487">
        <f>'AMA_ UBS e NASF Paulo VI'!G9</f>
        <v>990</v>
      </c>
      <c r="H112" s="497">
        <f>'AMA_ UBS e NASF Paulo VI'!H9</f>
        <v>5.7692307692307709E-2</v>
      </c>
      <c r="I112" s="487">
        <f>'AMA_ UBS e NASF Paulo VI'!K9</f>
        <v>1152</v>
      </c>
      <c r="J112" s="497">
        <f>'AMA_ UBS e NASF Paulo VI'!L9</f>
        <v>0.23076923076923084</v>
      </c>
      <c r="K112" s="487">
        <f>'AMA_ UBS e NASF Paulo VI'!M9</f>
        <v>1664</v>
      </c>
      <c r="L112" s="497">
        <f>'AMA_ UBS e NASF Paulo VI'!N9</f>
        <v>0.77777777777777768</v>
      </c>
      <c r="M112" s="487">
        <f>'AMA_ UBS e NASF Paulo VI'!O9</f>
        <v>1282</v>
      </c>
      <c r="N112" s="497">
        <f>'AMA_ UBS e NASF Paulo VI'!P9</f>
        <v>0.36965811965811968</v>
      </c>
    </row>
    <row r="113" spans="1:14" x14ac:dyDescent="0.25">
      <c r="A113" s="538" t="str">
        <f>'AMA_ UBS e NASF Paulo VI'!A10</f>
        <v>Clínico</v>
      </c>
      <c r="B113" s="500">
        <f>'AMA_ UBS e NASF Paulo VI'!B10</f>
        <v>526</v>
      </c>
      <c r="C113" s="501">
        <f>'AMA_ UBS e NASF Paulo VI'!C10</f>
        <v>1953</v>
      </c>
      <c r="D113" s="502">
        <f>'AMA_ UBS e NASF Paulo VI'!D10</f>
        <v>2.7129277566539924</v>
      </c>
      <c r="E113" s="501">
        <f>'AMA_ UBS e NASF Paulo VI'!E10</f>
        <v>679</v>
      </c>
      <c r="F113" s="502">
        <f>'AMA_ UBS e NASF Paulo VI'!F10</f>
        <v>0.290874524714829</v>
      </c>
      <c r="G113" s="501">
        <f>'AMA_ UBS e NASF Paulo VI'!G10</f>
        <v>630</v>
      </c>
      <c r="H113" s="502">
        <f>'AMA_ UBS e NASF Paulo VI'!H10</f>
        <v>0.19771863117870714</v>
      </c>
      <c r="I113" s="501">
        <f>'AMA_ UBS e NASF Paulo VI'!K10</f>
        <v>844</v>
      </c>
      <c r="J113" s="502">
        <f>'AMA_ UBS e NASF Paulo VI'!L10</f>
        <v>0.6045627376425855</v>
      </c>
      <c r="K113" s="501">
        <f>'AMA_ UBS e NASF Paulo VI'!M10</f>
        <v>892</v>
      </c>
      <c r="L113" s="502">
        <f>'AMA_ UBS e NASF Paulo VI'!N10</f>
        <v>0.69581749049429664</v>
      </c>
      <c r="M113" s="501">
        <f>'AMA_ UBS e NASF Paulo VI'!O10</f>
        <v>522</v>
      </c>
      <c r="N113" s="502">
        <f>'AMA_ UBS e NASF Paulo VI'!P10</f>
        <v>-7.6045627376425395E-3</v>
      </c>
    </row>
    <row r="114" spans="1:14" x14ac:dyDescent="0.25">
      <c r="A114" s="475" t="str">
        <f>'AMA_ UBS e NASF Paulo VI'!A11</f>
        <v>Pediatra</v>
      </c>
      <c r="B114" s="465">
        <f>'AMA_ UBS e NASF Paulo VI'!B11</f>
        <v>789</v>
      </c>
      <c r="C114" s="466">
        <f>'AMA_ UBS e NASF Paulo VI'!C11</f>
        <v>772</v>
      </c>
      <c r="D114" s="467">
        <f>'AMA_ UBS e NASF Paulo VI'!D11</f>
        <v>-2.1546261089987362E-2</v>
      </c>
      <c r="E114" s="466">
        <f>'AMA_ UBS e NASF Paulo VI'!E11</f>
        <v>304</v>
      </c>
      <c r="F114" s="467">
        <f>'AMA_ UBS e NASF Paulo VI'!F11</f>
        <v>-0.614702154626109</v>
      </c>
      <c r="G114" s="466">
        <f>'AMA_ UBS e NASF Paulo VI'!G11</f>
        <v>233</v>
      </c>
      <c r="H114" s="467">
        <f>'AMA_ UBS e NASF Paulo VI'!H11</f>
        <v>-0.70468948035487955</v>
      </c>
      <c r="I114" s="466">
        <f>'AMA_ UBS e NASF Paulo VI'!K11</f>
        <v>337</v>
      </c>
      <c r="J114" s="467">
        <f>'AMA_ UBS e NASF Paulo VI'!L11</f>
        <v>-0.57287705956907475</v>
      </c>
      <c r="K114" s="466">
        <f>'AMA_ UBS e NASF Paulo VI'!M11</f>
        <v>208</v>
      </c>
      <c r="L114" s="467">
        <f>'AMA_ UBS e NASF Paulo VI'!N11</f>
        <v>-0.73637515842839041</v>
      </c>
      <c r="M114" s="466">
        <f>'AMA_ UBS e NASF Paulo VI'!O11</f>
        <v>268</v>
      </c>
      <c r="N114" s="467">
        <f>'AMA_ UBS e NASF Paulo VI'!P11</f>
        <v>-0.66032953105196457</v>
      </c>
    </row>
    <row r="115" spans="1:14" x14ac:dyDescent="0.25">
      <c r="A115" s="475" t="str">
        <f>'AMA_ UBS e NASF Paulo VI'!A12</f>
        <v>Tocoginecologista</v>
      </c>
      <c r="B115" s="465">
        <f>'AMA_ UBS e NASF Paulo VI'!B12</f>
        <v>789</v>
      </c>
      <c r="C115" s="466">
        <f>'AMA_ UBS e NASF Paulo VI'!C12</f>
        <v>369</v>
      </c>
      <c r="D115" s="467">
        <f>'AMA_ UBS e NASF Paulo VI'!D12</f>
        <v>-0.53231939163498099</v>
      </c>
      <c r="E115" s="466">
        <f>'AMA_ UBS e NASF Paulo VI'!E12</f>
        <v>403</v>
      </c>
      <c r="F115" s="467">
        <f>'AMA_ UBS e NASF Paulo VI'!F12</f>
        <v>-0.48922686945500637</v>
      </c>
      <c r="G115" s="466">
        <f>'AMA_ UBS e NASF Paulo VI'!G12</f>
        <v>554</v>
      </c>
      <c r="H115" s="467">
        <f>'AMA_ UBS e NASF Paulo VI'!H12</f>
        <v>-0.2978453738910013</v>
      </c>
      <c r="I115" s="466">
        <f>'AMA_ UBS e NASF Paulo VI'!K12</f>
        <v>362</v>
      </c>
      <c r="J115" s="467">
        <f>'AMA_ UBS e NASF Paulo VI'!L12</f>
        <v>-0.54119138149556401</v>
      </c>
      <c r="K115" s="466">
        <f>'AMA_ UBS e NASF Paulo VI'!M12</f>
        <v>99</v>
      </c>
      <c r="L115" s="467">
        <f>'AMA_ UBS e NASF Paulo VI'!N12</f>
        <v>-0.87452471482889738</v>
      </c>
      <c r="M115" s="466">
        <f>'AMA_ UBS e NASF Paulo VI'!O12</f>
        <v>232</v>
      </c>
      <c r="N115" s="467">
        <f>'AMA_ UBS e NASF Paulo VI'!P12</f>
        <v>-0.70595690747782003</v>
      </c>
    </row>
    <row r="116" spans="1:14" ht="26.25" customHeight="1" x14ac:dyDescent="0.25">
      <c r="A116" s="464" t="str">
        <f>'AMA_ UBS e NASF Paulo VI'!A13</f>
        <v>Cirurgião Dentista (atendimento individual) II -  UBS</v>
      </c>
      <c r="B116" s="539">
        <f>'AMA_ UBS e NASF Paulo VI'!B13</f>
        <v>208</v>
      </c>
      <c r="C116" s="466">
        <f>'AMA_ UBS e NASF Paulo VI'!C13</f>
        <v>37</v>
      </c>
      <c r="D116" s="493">
        <f>'AMA_ UBS e NASF Paulo VI'!D13</f>
        <v>-0.82211538461538458</v>
      </c>
      <c r="E116" s="466">
        <f>'AMA_ UBS e NASF Paulo VI'!E13</f>
        <v>10</v>
      </c>
      <c r="F116" s="493">
        <f>'AMA_ UBS e NASF Paulo VI'!F13</f>
        <v>-0.95192307692307687</v>
      </c>
      <c r="G116" s="466">
        <f>'AMA_ UBS e NASF Paulo VI'!G13</f>
        <v>190</v>
      </c>
      <c r="H116" s="540">
        <f>'AMA_ UBS e NASF Paulo VI'!H13</f>
        <v>-8.6538461538461564E-2</v>
      </c>
      <c r="I116" s="466">
        <f>'AMA_ UBS e NASF Paulo VI'!K13</f>
        <v>158</v>
      </c>
      <c r="J116" s="493">
        <f>'AMA_ UBS e NASF Paulo VI'!L13</f>
        <v>-0.24038461538461542</v>
      </c>
      <c r="K116" s="466">
        <f>'AMA_ UBS e NASF Paulo VI'!M13</f>
        <v>0</v>
      </c>
      <c r="L116" s="493">
        <f>'AMA_ UBS e NASF Paulo VI'!N13</f>
        <v>-1</v>
      </c>
      <c r="M116" s="466">
        <f>'AMA_ UBS e NASF Paulo VI'!O13</f>
        <v>0</v>
      </c>
      <c r="N116" s="540">
        <f>'AMA_ UBS e NASF Paulo VI'!P13</f>
        <v>-1</v>
      </c>
    </row>
    <row r="117" spans="1:14" ht="24.75" thickBot="1" x14ac:dyDescent="0.3">
      <c r="A117" s="570" t="str">
        <f>'AMA_ UBS e NASF Paulo VI'!A14</f>
        <v>Cirurgião Dentista (procedimento) UBS</v>
      </c>
      <c r="B117" s="541">
        <f>'AMA_ UBS e NASF Paulo VI'!B14</f>
        <v>1248</v>
      </c>
      <c r="C117" s="511">
        <f>'AMA_ UBS e NASF Paulo VI'!C14</f>
        <v>102</v>
      </c>
      <c r="D117" s="506">
        <f>'AMA_ UBS e NASF Paulo VI'!D14</f>
        <v>-0.91826923076923073</v>
      </c>
      <c r="E117" s="511">
        <f>'AMA_ UBS e NASF Paulo VI'!E14</f>
        <v>17</v>
      </c>
      <c r="F117" s="542">
        <f>'AMA_ UBS e NASF Paulo VI'!F14</f>
        <v>-0.98637820512820518</v>
      </c>
      <c r="G117" s="511">
        <f>'AMA_ UBS e NASF Paulo VI'!G14</f>
        <v>99</v>
      </c>
      <c r="H117" s="543">
        <f>'AMA_ UBS e NASF Paulo VI'!H14</f>
        <v>-0.92067307692307687</v>
      </c>
      <c r="I117" s="511">
        <f>'AMA_ UBS e NASF Paulo VI'!K14</f>
        <v>127</v>
      </c>
      <c r="J117" s="542">
        <f>'AMA_ UBS e NASF Paulo VI'!L14</f>
        <v>-0.89823717948717952</v>
      </c>
      <c r="K117" s="511">
        <f>'AMA_ UBS e NASF Paulo VI'!M14</f>
        <v>0</v>
      </c>
      <c r="L117" s="542">
        <f>'AMA_ UBS e NASF Paulo VI'!N14</f>
        <v>-1</v>
      </c>
      <c r="M117" s="511">
        <f>'AMA_ UBS e NASF Paulo VI'!O14</f>
        <v>0</v>
      </c>
      <c r="N117" s="543">
        <f>'AMA_ UBS e NASF Paulo VI'!P14</f>
        <v>-1</v>
      </c>
    </row>
    <row r="118" spans="1:14" ht="15.75" thickBot="1" x14ac:dyDescent="0.3">
      <c r="A118" s="488" t="str">
        <f>'AMA_ UBS e NASF Paulo VI'!A15</f>
        <v>SOMA</v>
      </c>
      <c r="B118" s="489">
        <f>'AMA_ UBS e NASF Paulo VI'!B15</f>
        <v>14192</v>
      </c>
      <c r="C118" s="490">
        <f>'AMA_ UBS e NASF Paulo VI'!C15</f>
        <v>11549</v>
      </c>
      <c r="D118" s="491">
        <f>'AMA_ UBS e NASF Paulo VI'!D15</f>
        <v>-0.18623167981961664</v>
      </c>
      <c r="E118" s="490">
        <f>'AMA_ UBS e NASF Paulo VI'!E15</f>
        <v>9782</v>
      </c>
      <c r="F118" s="491">
        <f>'AMA_ UBS e NASF Paulo VI'!F15</f>
        <v>-0.31073844419391206</v>
      </c>
      <c r="G118" s="490">
        <f>'AMA_ UBS e NASF Paulo VI'!G15</f>
        <v>9595</v>
      </c>
      <c r="H118" s="491">
        <f>'AMA_ UBS e NASF Paulo VI'!H15</f>
        <v>-0.32391488162344984</v>
      </c>
      <c r="I118" s="490">
        <f>'AMA_ UBS e NASF Paulo VI'!K15</f>
        <v>10926</v>
      </c>
      <c r="J118" s="491">
        <f>'AMA_ UBS e NASF Paulo VI'!L15</f>
        <v>-0.23012965050732803</v>
      </c>
      <c r="K118" s="490">
        <f>'AMA_ UBS e NASF Paulo VI'!M15</f>
        <v>10975</v>
      </c>
      <c r="L118" s="491">
        <f>'AMA_ UBS e NASF Paulo VI'!N15</f>
        <v>-0.22667700112739575</v>
      </c>
      <c r="M118" s="490">
        <f>'AMA_ UBS e NASF Paulo VI'!O15</f>
        <v>9918</v>
      </c>
      <c r="N118" s="491">
        <f>'AMA_ UBS e NASF Paulo VI'!P15</f>
        <v>-0.30115558060879366</v>
      </c>
    </row>
    <row r="120" spans="1:14" ht="15.75" x14ac:dyDescent="0.25">
      <c r="A120" s="627" t="s">
        <v>209</v>
      </c>
      <c r="B120" s="628"/>
      <c r="C120" s="628"/>
      <c r="D120" s="628"/>
      <c r="E120" s="628"/>
      <c r="F120" s="628"/>
      <c r="G120" s="628"/>
      <c r="H120" s="628"/>
      <c r="I120" s="628"/>
      <c r="J120" s="628"/>
      <c r="K120" s="628"/>
      <c r="L120" s="628"/>
      <c r="M120" s="628"/>
      <c r="N120" s="628"/>
    </row>
    <row r="121" spans="1:14" ht="24.75" thickBot="1" x14ac:dyDescent="0.3">
      <c r="A121" s="544" t="s">
        <v>12</v>
      </c>
      <c r="B121" s="545" t="s">
        <v>13</v>
      </c>
      <c r="C121" s="461" t="s">
        <v>260</v>
      </c>
      <c r="D121" s="463" t="s">
        <v>1</v>
      </c>
      <c r="E121" s="461" t="s">
        <v>261</v>
      </c>
      <c r="F121" s="463" t="s">
        <v>1</v>
      </c>
      <c r="G121" s="461" t="s">
        <v>2</v>
      </c>
      <c r="H121" s="463" t="s">
        <v>1</v>
      </c>
      <c r="I121" s="461" t="s">
        <v>3</v>
      </c>
      <c r="J121" s="463" t="s">
        <v>1</v>
      </c>
      <c r="K121" s="461" t="s">
        <v>4</v>
      </c>
      <c r="L121" s="463" t="s">
        <v>1</v>
      </c>
      <c r="M121" s="461" t="s">
        <v>5</v>
      </c>
      <c r="N121" s="463" t="s">
        <v>1</v>
      </c>
    </row>
    <row r="122" spans="1:14" ht="15.75" thickTop="1" x14ac:dyDescent="0.25">
      <c r="A122" s="546" t="str">
        <f>' AMA e UBS Sao Jorge'!A7</f>
        <v>ACS</v>
      </c>
      <c r="B122" s="547">
        <f>' AMA e UBS Sao Jorge'!B7</f>
        <v>7200</v>
      </c>
      <c r="C122" s="548">
        <f>' AMA e UBS Sao Jorge'!C7</f>
        <v>6203</v>
      </c>
      <c r="D122" s="549">
        <f>' AMA e UBS Sao Jorge'!D7</f>
        <v>-0.13847222222222222</v>
      </c>
      <c r="E122" s="487">
        <f>' AMA e UBS Sao Jorge'!E7</f>
        <v>4269</v>
      </c>
      <c r="F122" s="549">
        <f>' AMA e UBS Sao Jorge'!F7</f>
        <v>-0.40708333333333335</v>
      </c>
      <c r="G122" s="487">
        <f>' AMA e UBS Sao Jorge'!G7</f>
        <v>5802</v>
      </c>
      <c r="H122" s="549">
        <f>' AMA e UBS Sao Jorge'!H7</f>
        <v>-0.19416666666666671</v>
      </c>
      <c r="I122" s="487">
        <f>' AMA e UBS Sao Jorge'!K7</f>
        <v>5362</v>
      </c>
      <c r="J122" s="549">
        <f>' AMA e UBS Sao Jorge'!L7</f>
        <v>-0.25527777777777783</v>
      </c>
      <c r="K122" s="487">
        <f>' AMA e UBS Sao Jorge'!M7</f>
        <v>6199</v>
      </c>
      <c r="L122" s="549">
        <f>' AMA e UBS Sao Jorge'!N7</f>
        <v>-0.13902777777777775</v>
      </c>
      <c r="M122" s="487">
        <f>' AMA e UBS Sao Jorge'!O7</f>
        <v>5348</v>
      </c>
      <c r="N122" s="549">
        <f>' AMA e UBS Sao Jorge'!P7</f>
        <v>-0.25722222222222224</v>
      </c>
    </row>
    <row r="123" spans="1:14" x14ac:dyDescent="0.25">
      <c r="A123" s="538" t="str">
        <f>' AMA e UBS Sao Jorge'!A8</f>
        <v>Médico Generalista</v>
      </c>
      <c r="B123" s="500">
        <f>' AMA e UBS Sao Jorge'!B8</f>
        <v>2496</v>
      </c>
      <c r="C123" s="501">
        <f>' AMA e UBS Sao Jorge'!C8</f>
        <v>1625</v>
      </c>
      <c r="D123" s="550">
        <f>' AMA e UBS Sao Jorge'!D8</f>
        <v>-0.34895833333333337</v>
      </c>
      <c r="E123" s="501">
        <f>' AMA e UBS Sao Jorge'!E8</f>
        <v>1741</v>
      </c>
      <c r="F123" s="550">
        <f>' AMA e UBS Sao Jorge'!F8</f>
        <v>-0.30248397435897434</v>
      </c>
      <c r="G123" s="501">
        <f>' AMA e UBS Sao Jorge'!G8</f>
        <v>1547</v>
      </c>
      <c r="H123" s="550">
        <f>' AMA e UBS Sao Jorge'!H8</f>
        <v>-0.38020833333333337</v>
      </c>
      <c r="I123" s="501">
        <f>' AMA e UBS Sao Jorge'!K8</f>
        <v>1829</v>
      </c>
      <c r="J123" s="550">
        <f>' AMA e UBS Sao Jorge'!L8</f>
        <v>-0.2672275641025641</v>
      </c>
      <c r="K123" s="501">
        <f>' AMA e UBS Sao Jorge'!M8</f>
        <v>1998</v>
      </c>
      <c r="L123" s="550">
        <f>' AMA e UBS Sao Jorge'!N8</f>
        <v>-0.19951923076923073</v>
      </c>
      <c r="M123" s="501">
        <f>' AMA e UBS Sao Jorge'!O8</f>
        <v>1791</v>
      </c>
      <c r="N123" s="550">
        <f>' AMA e UBS Sao Jorge'!P8</f>
        <v>-0.28245192307692313</v>
      </c>
    </row>
    <row r="124" spans="1:14" x14ac:dyDescent="0.25">
      <c r="A124" s="475" t="str">
        <f>' AMA e UBS Sao Jorge'!A9</f>
        <v>Enfermeiro - ESF</v>
      </c>
      <c r="B124" s="465">
        <f>' AMA e UBS Sao Jorge'!B9</f>
        <v>936</v>
      </c>
      <c r="C124" s="466">
        <f>' AMA e UBS Sao Jorge'!C9</f>
        <v>1157</v>
      </c>
      <c r="D124" s="467">
        <f>' AMA e UBS Sao Jorge'!D9</f>
        <v>0.23611111111111116</v>
      </c>
      <c r="E124" s="466">
        <f>' AMA e UBS Sao Jorge'!E9</f>
        <v>944</v>
      </c>
      <c r="F124" s="467">
        <f>' AMA e UBS Sao Jorge'!F9</f>
        <v>8.5470085470085166E-3</v>
      </c>
      <c r="G124" s="466">
        <f>' AMA e UBS Sao Jorge'!G9</f>
        <v>1041</v>
      </c>
      <c r="H124" s="467">
        <f>' AMA e UBS Sao Jorge'!H9</f>
        <v>0.11217948717948723</v>
      </c>
      <c r="I124" s="466">
        <f>' AMA e UBS Sao Jorge'!K9</f>
        <v>813</v>
      </c>
      <c r="J124" s="467">
        <f>' AMA e UBS Sao Jorge'!L9</f>
        <v>-0.13141025641025639</v>
      </c>
      <c r="K124" s="466">
        <f>' AMA e UBS Sao Jorge'!M9</f>
        <v>757</v>
      </c>
      <c r="L124" s="467">
        <f>' AMA e UBS Sao Jorge'!N9</f>
        <v>-0.19123931623931623</v>
      </c>
      <c r="M124" s="466">
        <f>' AMA e UBS Sao Jorge'!O9</f>
        <v>954</v>
      </c>
      <c r="N124" s="467">
        <f>' AMA e UBS Sao Jorge'!P9</f>
        <v>1.9230769230769162E-2</v>
      </c>
    </row>
    <row r="125" spans="1:14" ht="24" x14ac:dyDescent="0.25">
      <c r="A125" s="464" t="str">
        <f>' AMA e UBS Sao Jorge'!A10</f>
        <v>Cirurgião dentista - ESB I (atendimento individual) UBS</v>
      </c>
      <c r="B125" s="465">
        <f>' AMA e UBS Sao Jorge'!B10</f>
        <v>208</v>
      </c>
      <c r="C125" s="466">
        <f>' AMA e UBS Sao Jorge'!C10</f>
        <v>0</v>
      </c>
      <c r="D125" s="467">
        <f>' AMA e UBS Sao Jorge'!D10</f>
        <v>-1</v>
      </c>
      <c r="E125" s="466">
        <f>' AMA e UBS Sao Jorge'!E10</f>
        <v>72</v>
      </c>
      <c r="F125" s="467">
        <f>' AMA e UBS Sao Jorge'!F10</f>
        <v>-0.65384615384615385</v>
      </c>
      <c r="G125" s="466">
        <f>' AMA e UBS Sao Jorge'!G10</f>
        <v>181</v>
      </c>
      <c r="H125" s="467">
        <f>' AMA e UBS Sao Jorge'!H10</f>
        <v>-0.12980769230769229</v>
      </c>
      <c r="I125" s="466">
        <f>' AMA e UBS Sao Jorge'!K10</f>
        <v>735</v>
      </c>
      <c r="J125" s="467">
        <f>' AMA e UBS Sao Jorge'!L10</f>
        <v>2.5336538461538463</v>
      </c>
      <c r="K125" s="466">
        <f>' AMA e UBS Sao Jorge'!M10</f>
        <v>179</v>
      </c>
      <c r="L125" s="467">
        <f>' AMA e UBS Sao Jorge'!N10</f>
        <v>-0.13942307692307687</v>
      </c>
      <c r="M125" s="466">
        <f>' AMA e UBS Sao Jorge'!O10</f>
        <v>77</v>
      </c>
      <c r="N125" s="467">
        <f>' AMA e UBS Sao Jorge'!P10</f>
        <v>-0.62980769230769229</v>
      </c>
    </row>
    <row r="126" spans="1:14" ht="24" x14ac:dyDescent="0.25">
      <c r="A126" s="464" t="str">
        <f>' AMA e UBS Sao Jorge'!A11</f>
        <v>Cirugião Dentista - ESB I ( procedimento)</v>
      </c>
      <c r="B126" s="465">
        <f>' AMA e UBS Sao Jorge'!B11</f>
        <v>832</v>
      </c>
      <c r="C126" s="466">
        <f>' AMA e UBS Sao Jorge'!C11</f>
        <v>0</v>
      </c>
      <c r="D126" s="467">
        <f>' AMA e UBS Sao Jorge'!D11</f>
        <v>-1</v>
      </c>
      <c r="E126" s="466">
        <f>' AMA e UBS Sao Jorge'!E11</f>
        <v>122</v>
      </c>
      <c r="F126" s="467">
        <f>' AMA e UBS Sao Jorge'!F11</f>
        <v>-0.85336538461538458</v>
      </c>
      <c r="G126" s="466">
        <f>' AMA e UBS Sao Jorge'!G11</f>
        <v>315</v>
      </c>
      <c r="H126" s="467">
        <f>' AMA e UBS Sao Jorge'!H11</f>
        <v>-0.62139423076923084</v>
      </c>
      <c r="I126" s="466">
        <f>' AMA e UBS Sao Jorge'!K11</f>
        <v>938</v>
      </c>
      <c r="J126" s="467">
        <f>' AMA e UBS Sao Jorge'!L11</f>
        <v>0.12740384615384626</v>
      </c>
      <c r="K126" s="466">
        <f>' AMA e UBS Sao Jorge'!M11</f>
        <v>808</v>
      </c>
      <c r="L126" s="467">
        <f>' AMA e UBS Sao Jorge'!N11</f>
        <v>-2.8846153846153855E-2</v>
      </c>
      <c r="M126" s="466">
        <f>' AMA e UBS Sao Jorge'!O11</f>
        <v>66</v>
      </c>
      <c r="N126" s="467">
        <f>' AMA e UBS Sao Jorge'!P11</f>
        <v>-0.92067307692307687</v>
      </c>
    </row>
    <row r="127" spans="1:14" ht="24" x14ac:dyDescent="0.25">
      <c r="A127" s="464" t="str">
        <f>' AMA e UBS Sao Jorge'!A12</f>
        <v>Cirurgião Dentista (atendimento individual) UBS</v>
      </c>
      <c r="B127" s="465">
        <f>' AMA e UBS Sao Jorge'!B12</f>
        <v>222</v>
      </c>
      <c r="C127" s="466">
        <f>' AMA e UBS Sao Jorge'!C12</f>
        <v>433</v>
      </c>
      <c r="D127" s="467">
        <f>' AMA e UBS Sao Jorge'!D12</f>
        <v>0.95045045045045051</v>
      </c>
      <c r="E127" s="466">
        <f>' AMA e UBS Sao Jorge'!E12</f>
        <v>513</v>
      </c>
      <c r="F127" s="467">
        <f>' AMA e UBS Sao Jorge'!F12</f>
        <v>1.310810810810811</v>
      </c>
      <c r="G127" s="466">
        <f>' AMA e UBS Sao Jorge'!G12</f>
        <v>209</v>
      </c>
      <c r="H127" s="467">
        <f>' AMA e UBS Sao Jorge'!H12</f>
        <v>-5.8558558558558516E-2</v>
      </c>
      <c r="I127" s="466">
        <f>' AMA e UBS Sao Jorge'!K12</f>
        <v>184</v>
      </c>
      <c r="J127" s="467">
        <f>' AMA e UBS Sao Jorge'!L12</f>
        <v>-0.1711711711711712</v>
      </c>
      <c r="K127" s="466">
        <f>' AMA e UBS Sao Jorge'!M12</f>
        <v>85</v>
      </c>
      <c r="L127" s="467">
        <f>' AMA e UBS Sao Jorge'!N12</f>
        <v>-0.61711711711711714</v>
      </c>
      <c r="M127" s="466">
        <f>' AMA e UBS Sao Jorge'!O12</f>
        <v>2</v>
      </c>
      <c r="N127" s="467">
        <f>' AMA e UBS Sao Jorge'!P12</f>
        <v>-0.99099099099099097</v>
      </c>
    </row>
    <row r="128" spans="1:14" ht="24" x14ac:dyDescent="0.25">
      <c r="A128" s="464" t="str">
        <f>' AMA e UBS Sao Jorge'!A13</f>
        <v>Cirurgião Dentista (procedimento)</v>
      </c>
      <c r="B128" s="465">
        <f>' AMA e UBS Sao Jorge'!B13</f>
        <v>888</v>
      </c>
      <c r="C128" s="466">
        <f>' AMA e UBS Sao Jorge'!C13</f>
        <v>888</v>
      </c>
      <c r="D128" s="467">
        <f>' AMA e UBS Sao Jorge'!D13</f>
        <v>0</v>
      </c>
      <c r="E128" s="466">
        <f>' AMA e UBS Sao Jorge'!E13</f>
        <v>826</v>
      </c>
      <c r="F128" s="467">
        <f>' AMA e UBS Sao Jorge'!F13</f>
        <v>-6.9819819819819773E-2</v>
      </c>
      <c r="G128" s="466">
        <f>' AMA e UBS Sao Jorge'!G13</f>
        <v>559</v>
      </c>
      <c r="H128" s="467">
        <f>' AMA e UBS Sao Jorge'!H13</f>
        <v>-0.37049549549549554</v>
      </c>
      <c r="I128" s="466">
        <f>' AMA e UBS Sao Jorge'!K13</f>
        <v>364</v>
      </c>
      <c r="J128" s="467">
        <f>' AMA e UBS Sao Jorge'!L13</f>
        <v>-0.59009009009009006</v>
      </c>
      <c r="K128" s="466">
        <f>' AMA e UBS Sao Jorge'!M13</f>
        <v>111</v>
      </c>
      <c r="L128" s="467">
        <f>' AMA e UBS Sao Jorge'!N13</f>
        <v>-0.875</v>
      </c>
      <c r="M128" s="466">
        <f>' AMA e UBS Sao Jorge'!O13</f>
        <v>0</v>
      </c>
      <c r="N128" s="467">
        <f>' AMA e UBS Sao Jorge'!P13</f>
        <v>-1</v>
      </c>
    </row>
    <row r="129" spans="1:14" x14ac:dyDescent="0.25">
      <c r="A129" s="475" t="str">
        <f>' AMA e UBS Sao Jorge'!A14</f>
        <v>Clínico Geral</v>
      </c>
      <c r="B129" s="465">
        <f>' AMA e UBS Sao Jorge'!B14</f>
        <v>526</v>
      </c>
      <c r="C129" s="466">
        <f>' AMA e UBS Sao Jorge'!C14</f>
        <v>3130</v>
      </c>
      <c r="D129" s="467">
        <f>' AMA e UBS Sao Jorge'!D14</f>
        <v>4.9505703422053235</v>
      </c>
      <c r="E129" s="466">
        <f>' AMA e UBS Sao Jorge'!E14</f>
        <v>3427</v>
      </c>
      <c r="F129" s="467">
        <f>' AMA e UBS Sao Jorge'!F14</f>
        <v>5.5152091254752849</v>
      </c>
      <c r="G129" s="466">
        <f>' AMA e UBS Sao Jorge'!G14</f>
        <v>436</v>
      </c>
      <c r="H129" s="467">
        <f>' AMA e UBS Sao Jorge'!H14</f>
        <v>-0.17110266159695819</v>
      </c>
      <c r="I129" s="466">
        <f>' AMA e UBS Sao Jorge'!K14</f>
        <v>2722</v>
      </c>
      <c r="J129" s="467">
        <f>' AMA e UBS Sao Jorge'!L14</f>
        <v>4.1749049429657799</v>
      </c>
      <c r="K129" s="466">
        <f>' AMA e UBS Sao Jorge'!M14</f>
        <v>630</v>
      </c>
      <c r="L129" s="467">
        <f>' AMA e UBS Sao Jorge'!N14</f>
        <v>0.19771863117870714</v>
      </c>
      <c r="M129" s="466">
        <f>' AMA e UBS Sao Jorge'!O14</f>
        <v>422</v>
      </c>
      <c r="N129" s="467">
        <f>' AMA e UBS Sao Jorge'!P14</f>
        <v>-0.19771863117870725</v>
      </c>
    </row>
    <row r="130" spans="1:14" x14ac:dyDescent="0.25">
      <c r="A130" s="475" t="str">
        <f>' AMA e UBS Sao Jorge'!A15</f>
        <v>Pediatra</v>
      </c>
      <c r="B130" s="465">
        <f>' AMA e UBS Sao Jorge'!B15</f>
        <v>263</v>
      </c>
      <c r="C130" s="466">
        <f>' AMA e UBS Sao Jorge'!C15</f>
        <v>1225</v>
      </c>
      <c r="D130" s="467">
        <f>' AMA e UBS Sao Jorge'!D15</f>
        <v>3.6577946768060841</v>
      </c>
      <c r="E130" s="466">
        <f>' AMA e UBS Sao Jorge'!E15</f>
        <v>1424</v>
      </c>
      <c r="F130" s="467">
        <f>' AMA e UBS Sao Jorge'!F15</f>
        <v>4.414448669201521</v>
      </c>
      <c r="G130" s="466">
        <f>' AMA e UBS Sao Jorge'!G15</f>
        <v>223</v>
      </c>
      <c r="H130" s="467">
        <f>' AMA e UBS Sao Jorge'!H15</f>
        <v>-0.15209125475285168</v>
      </c>
      <c r="I130" s="466">
        <f>' AMA e UBS Sao Jorge'!K15</f>
        <v>1245</v>
      </c>
      <c r="J130" s="467">
        <f>' AMA e UBS Sao Jorge'!L15</f>
        <v>3.7338403041825092</v>
      </c>
      <c r="K130" s="466">
        <f>' AMA e UBS Sao Jorge'!M15</f>
        <v>182</v>
      </c>
      <c r="L130" s="467">
        <f>' AMA e UBS Sao Jorge'!N15</f>
        <v>-0.30798479087452468</v>
      </c>
      <c r="M130" s="466">
        <f>' AMA e UBS Sao Jorge'!O15</f>
        <v>168</v>
      </c>
      <c r="N130" s="467">
        <f>' AMA e UBS Sao Jorge'!P15</f>
        <v>-0.36121673003802279</v>
      </c>
    </row>
    <row r="131" spans="1:14" x14ac:dyDescent="0.25">
      <c r="A131" s="475" t="str">
        <f>' AMA e UBS Sao Jorge'!A16</f>
        <v>Tocoginecologista</v>
      </c>
      <c r="B131" s="465">
        <f>' AMA e UBS Sao Jorge'!B16</f>
        <v>263</v>
      </c>
      <c r="C131" s="466">
        <f>' AMA e UBS Sao Jorge'!C16</f>
        <v>141</v>
      </c>
      <c r="D131" s="467">
        <f>' AMA e UBS Sao Jorge'!D16</f>
        <v>-0.46387832699619769</v>
      </c>
      <c r="E131" s="466">
        <f>' AMA e UBS Sao Jorge'!E16</f>
        <v>72</v>
      </c>
      <c r="F131" s="467">
        <f>' AMA e UBS Sao Jorge'!F16</f>
        <v>-0.72623574144486691</v>
      </c>
      <c r="G131" s="466">
        <f>' AMA e UBS Sao Jorge'!G16</f>
        <v>0</v>
      </c>
      <c r="H131" s="467">
        <f>' AMA e UBS Sao Jorge'!H16</f>
        <v>-1</v>
      </c>
      <c r="I131" s="466">
        <f>' AMA e UBS Sao Jorge'!K16</f>
        <v>131</v>
      </c>
      <c r="J131" s="467">
        <f>' AMA e UBS Sao Jorge'!L16</f>
        <v>-0.50190114068441072</v>
      </c>
      <c r="K131" s="466">
        <f>' AMA e UBS Sao Jorge'!M16</f>
        <v>41</v>
      </c>
      <c r="L131" s="467">
        <f>' AMA e UBS Sao Jorge'!N16</f>
        <v>-0.844106463878327</v>
      </c>
      <c r="M131" s="466">
        <f>' AMA e UBS Sao Jorge'!O16</f>
        <v>0</v>
      </c>
      <c r="N131" s="467">
        <f>' AMA e UBS Sao Jorge'!P16</f>
        <v>-1</v>
      </c>
    </row>
    <row r="132" spans="1:14" ht="15.75" thickBot="1" x14ac:dyDescent="0.3">
      <c r="A132" s="551" t="str">
        <f>' AMA e UBS Sao Jorge'!A17</f>
        <v>Psquiatra</v>
      </c>
      <c r="B132" s="552">
        <f>' AMA e UBS Sao Jorge'!B17</f>
        <v>166</v>
      </c>
      <c r="C132" s="553">
        <f>' AMA e UBS Sao Jorge'!C17</f>
        <v>107</v>
      </c>
      <c r="D132" s="554">
        <f>' AMA e UBS Sao Jorge'!D17</f>
        <v>-0.35542168674698793</v>
      </c>
      <c r="E132" s="555">
        <f>' AMA e UBS Sao Jorge'!E17</f>
        <v>158</v>
      </c>
      <c r="F132" s="554">
        <f>' AMA e UBS Sao Jorge'!F17</f>
        <v>-4.8192771084337394E-2</v>
      </c>
      <c r="G132" s="555">
        <f>' AMA e UBS Sao Jorge'!G17</f>
        <v>89</v>
      </c>
      <c r="H132" s="554">
        <f>' AMA e UBS Sao Jorge'!H17</f>
        <v>-0.46385542168674698</v>
      </c>
      <c r="I132" s="556">
        <f>' AMA e UBS Sao Jorge'!K17</f>
        <v>120</v>
      </c>
      <c r="J132" s="554">
        <f>' AMA e UBS Sao Jorge'!L17</f>
        <v>-0.27710843373493976</v>
      </c>
      <c r="K132" s="555">
        <f>' AMA e UBS Sao Jorge'!M17</f>
        <v>123</v>
      </c>
      <c r="L132" s="554">
        <f>' AMA e UBS Sao Jorge'!N17</f>
        <v>-0.25903614457831325</v>
      </c>
      <c r="M132" s="555">
        <f>' AMA e UBS Sao Jorge'!O17</f>
        <v>101</v>
      </c>
      <c r="N132" s="557">
        <f>' AMA e UBS Sao Jorge'!P17</f>
        <v>-0.39156626506024095</v>
      </c>
    </row>
    <row r="133" spans="1:14" ht="15.75" thickBot="1" x14ac:dyDescent="0.3">
      <c r="A133" s="488" t="str">
        <f>' AMA e UBS Sao Jorge'!A18</f>
        <v>SOMA</v>
      </c>
      <c r="B133" s="489">
        <f>' AMA e UBS Sao Jorge'!B18</f>
        <v>14000</v>
      </c>
      <c r="C133" s="490">
        <f>' AMA e UBS Sao Jorge'!C18</f>
        <v>14909</v>
      </c>
      <c r="D133" s="491">
        <f>' AMA e UBS Sao Jorge'!D18</f>
        <v>6.4928571428571447E-2</v>
      </c>
      <c r="E133" s="490">
        <f>' AMA e UBS Sao Jorge'!E18</f>
        <v>13568</v>
      </c>
      <c r="F133" s="491">
        <f>' AMA e UBS Sao Jorge'!F18</f>
        <v>-3.0857142857142805E-2</v>
      </c>
      <c r="G133" s="490">
        <f>' AMA e UBS Sao Jorge'!G18</f>
        <v>10402</v>
      </c>
      <c r="H133" s="491">
        <f>' AMA e UBS Sao Jorge'!H18</f>
        <v>-0.25700000000000001</v>
      </c>
      <c r="I133" s="490">
        <f>' AMA e UBS Sao Jorge'!K18</f>
        <v>14443</v>
      </c>
      <c r="J133" s="491">
        <f>' AMA e UBS Sao Jorge'!L18</f>
        <v>3.1642857142857084E-2</v>
      </c>
      <c r="K133" s="490">
        <f>' AMA e UBS Sao Jorge'!M18</f>
        <v>11113</v>
      </c>
      <c r="L133" s="491">
        <f>' AMA e UBS Sao Jorge'!N18</f>
        <v>-0.20621428571428568</v>
      </c>
      <c r="M133" s="490">
        <f>' AMA e UBS Sao Jorge'!O18</f>
        <v>8929</v>
      </c>
      <c r="N133" s="491">
        <f>' AMA e UBS Sao Jorge'!P18</f>
        <v>-0.36221428571428571</v>
      </c>
    </row>
    <row r="135" spans="1:14" ht="16.5" thickBot="1" x14ac:dyDescent="0.3">
      <c r="A135" s="631" t="s">
        <v>327</v>
      </c>
      <c r="B135" s="632"/>
      <c r="C135" s="632"/>
      <c r="D135" s="632"/>
      <c r="E135" s="632"/>
      <c r="F135" s="632"/>
      <c r="G135" s="632"/>
      <c r="H135" s="632"/>
      <c r="I135" s="632"/>
      <c r="J135" s="632"/>
      <c r="K135" s="632"/>
      <c r="L135" s="632"/>
      <c r="M135" s="632"/>
      <c r="N135" s="632"/>
    </row>
    <row r="136" spans="1:14" ht="24" x14ac:dyDescent="0.25">
      <c r="A136" s="558" t="s">
        <v>12</v>
      </c>
      <c r="B136" s="559" t="s">
        <v>13</v>
      </c>
      <c r="C136" s="461" t="s">
        <v>260</v>
      </c>
      <c r="D136" s="463" t="s">
        <v>1</v>
      </c>
      <c r="E136" s="461" t="s">
        <v>261</v>
      </c>
      <c r="F136" s="463" t="s">
        <v>1</v>
      </c>
      <c r="G136" s="461" t="s">
        <v>2</v>
      </c>
      <c r="H136" s="463" t="s">
        <v>1</v>
      </c>
      <c r="I136" s="461" t="s">
        <v>3</v>
      </c>
      <c r="J136" s="463" t="s">
        <v>1</v>
      </c>
      <c r="K136" s="461" t="s">
        <v>4</v>
      </c>
      <c r="L136" s="463" t="s">
        <v>1</v>
      </c>
      <c r="M136" s="461" t="s">
        <v>5</v>
      </c>
      <c r="N136" s="463" t="s">
        <v>1</v>
      </c>
    </row>
    <row r="137" spans="1:14" x14ac:dyDescent="0.25">
      <c r="A137" s="560" t="str">
        <f>'PS BAND'!A7</f>
        <v>Atendimento de Urgencia</v>
      </c>
      <c r="B137" s="465" t="str">
        <f>'PS BAND'!B7</f>
        <v>s/ meta</v>
      </c>
      <c r="C137" s="466">
        <f>'PS BAND'!C7</f>
        <v>0</v>
      </c>
      <c r="D137" s="467" t="e">
        <f>'PS BAND'!D7</f>
        <v>#VALUE!</v>
      </c>
      <c r="E137" s="466">
        <f>'PS BAND'!E7</f>
        <v>0</v>
      </c>
      <c r="F137" s="467" t="e">
        <f>'PS BAND'!F7</f>
        <v>#VALUE!</v>
      </c>
      <c r="G137" s="466">
        <f>'PS BAND'!G7</f>
        <v>0</v>
      </c>
      <c r="H137" s="467" t="e">
        <f>'PS BAND'!H7</f>
        <v>#VALUE!</v>
      </c>
      <c r="I137" s="466">
        <f>'PS BAND'!K7</f>
        <v>9906</v>
      </c>
      <c r="J137" s="467">
        <f>'PS BAND'!L7</f>
        <v>0</v>
      </c>
      <c r="K137" s="466">
        <f>'PS BAND'!M7</f>
        <v>19652</v>
      </c>
      <c r="L137" s="467">
        <f>'PS BAND'!N7</f>
        <v>0</v>
      </c>
      <c r="M137" s="466">
        <f>'PS BAND'!O7</f>
        <v>9666</v>
      </c>
      <c r="N137" s="467">
        <f>'PS BAND'!P7</f>
        <v>0</v>
      </c>
    </row>
    <row r="138" spans="1:14" x14ac:dyDescent="0.25">
      <c r="A138" s="560" t="str">
        <f>'PS BAND'!A8</f>
        <v>Atendimento Com Observação</v>
      </c>
      <c r="B138" s="465" t="str">
        <f>'PS BAND'!B8</f>
        <v>s/ meta</v>
      </c>
      <c r="C138" s="466">
        <f>'PS BAND'!C8</f>
        <v>0</v>
      </c>
      <c r="D138" s="467" t="e">
        <f>'PS BAND'!D8</f>
        <v>#VALUE!</v>
      </c>
      <c r="E138" s="466">
        <f>'PS BAND'!E8</f>
        <v>0</v>
      </c>
      <c r="F138" s="467" t="e">
        <f>'PS BAND'!F8</f>
        <v>#VALUE!</v>
      </c>
      <c r="G138" s="466">
        <f>'PS BAND'!G8</f>
        <v>0</v>
      </c>
      <c r="H138" s="467" t="e">
        <f>'PS BAND'!H8</f>
        <v>#VALUE!</v>
      </c>
      <c r="I138" s="466">
        <f>'PS BAND'!K8</f>
        <v>622</v>
      </c>
      <c r="J138" s="467">
        <f>'PS BAND'!L8</f>
        <v>0</v>
      </c>
      <c r="K138" s="466">
        <f>'PS BAND'!M8</f>
        <v>1058</v>
      </c>
      <c r="L138" s="467">
        <f>'PS BAND'!N8</f>
        <v>0</v>
      </c>
      <c r="M138" s="466">
        <f>'PS BAND'!O8</f>
        <v>302</v>
      </c>
      <c r="N138" s="467">
        <f>'PS BAND'!P8</f>
        <v>0</v>
      </c>
    </row>
    <row r="139" spans="1:14" ht="15.75" thickBot="1" x14ac:dyDescent="0.3">
      <c r="A139" s="561" t="str">
        <f>'PS BAND'!A9</f>
        <v>Atendimento com remoção</v>
      </c>
      <c r="B139" s="562" t="str">
        <f>'PS BAND'!B9</f>
        <v>s/ meta</v>
      </c>
      <c r="C139" s="511">
        <f>'PS BAND'!C9</f>
        <v>0</v>
      </c>
      <c r="D139" s="506" t="e">
        <f>'PS BAND'!D9</f>
        <v>#VALUE!</v>
      </c>
      <c r="E139" s="511">
        <f>'PS BAND'!E9</f>
        <v>0</v>
      </c>
      <c r="F139" s="506" t="e">
        <f>'PS BAND'!F9</f>
        <v>#VALUE!</v>
      </c>
      <c r="G139" s="511">
        <f>'PS BAND'!G9</f>
        <v>0</v>
      </c>
      <c r="H139" s="506" t="e">
        <f>'PS BAND'!H9</f>
        <v>#VALUE!</v>
      </c>
      <c r="I139" s="511">
        <f>'PS BAND'!K9</f>
        <v>0</v>
      </c>
      <c r="J139" s="506">
        <f>'PS BAND'!L9</f>
        <v>0</v>
      </c>
      <c r="K139" s="511">
        <f>'PS BAND'!M9</f>
        <v>212</v>
      </c>
      <c r="L139" s="506">
        <f>'PS BAND'!N9</f>
        <v>0</v>
      </c>
      <c r="M139" s="511">
        <f>'PS BAND'!O9</f>
        <v>152</v>
      </c>
      <c r="N139" s="506">
        <f>'PS BAND'!P9</f>
        <v>0</v>
      </c>
    </row>
    <row r="140" spans="1:14" ht="15.75" thickBot="1" x14ac:dyDescent="0.3">
      <c r="A140" s="563" t="str">
        <f>'PS BAND'!A10</f>
        <v>SOMA</v>
      </c>
      <c r="B140" s="564">
        <f>'PS BAND'!B10</f>
        <v>0</v>
      </c>
      <c r="C140" s="565">
        <f>'PS BAND'!C10</f>
        <v>0</v>
      </c>
      <c r="D140" s="566" t="e">
        <f>'PS BAND'!D10</f>
        <v>#DIV/0!</v>
      </c>
      <c r="E140" s="565">
        <f>'PS BAND'!E10</f>
        <v>0</v>
      </c>
      <c r="F140" s="566" t="e">
        <f>'PS BAND'!F10</f>
        <v>#DIV/0!</v>
      </c>
      <c r="G140" s="565">
        <f>'PS BAND'!G10</f>
        <v>0</v>
      </c>
      <c r="H140" s="566" t="e">
        <f>'PS BAND'!H10</f>
        <v>#DIV/0!</v>
      </c>
      <c r="I140" s="565">
        <f>'PS BAND'!K10</f>
        <v>10528</v>
      </c>
      <c r="J140" s="566">
        <f>'PS BAND'!L10</f>
        <v>0</v>
      </c>
      <c r="K140" s="565">
        <f>'PS BAND'!M10</f>
        <v>20922</v>
      </c>
      <c r="L140" s="566">
        <f>'PS BAND'!N10</f>
        <v>0</v>
      </c>
      <c r="M140" s="565">
        <f>'PS BAND'!O10</f>
        <v>10120</v>
      </c>
      <c r="N140" s="566">
        <f>'PS BAND'!P10</f>
        <v>0</v>
      </c>
    </row>
    <row r="142" spans="1:14" ht="15.75" x14ac:dyDescent="0.25">
      <c r="A142" s="627" t="s">
        <v>223</v>
      </c>
      <c r="B142" s="628"/>
      <c r="C142" s="628"/>
      <c r="D142" s="628"/>
      <c r="E142" s="628"/>
      <c r="F142" s="628"/>
      <c r="G142" s="628"/>
      <c r="H142" s="628"/>
      <c r="I142" s="628"/>
      <c r="J142" s="628"/>
      <c r="K142" s="628"/>
      <c r="L142" s="628"/>
      <c r="M142" s="628"/>
      <c r="N142" s="628"/>
    </row>
    <row r="143" spans="1:14" ht="24" x14ac:dyDescent="0.25">
      <c r="A143" s="474" t="s">
        <v>12</v>
      </c>
      <c r="B143" s="462" t="s">
        <v>13</v>
      </c>
      <c r="C143" s="461" t="s">
        <v>260</v>
      </c>
      <c r="D143" s="463" t="s">
        <v>1</v>
      </c>
      <c r="E143" s="461" t="s">
        <v>261</v>
      </c>
      <c r="F143" s="463" t="s">
        <v>1</v>
      </c>
      <c r="G143" s="461" t="s">
        <v>2</v>
      </c>
      <c r="H143" s="463" t="s">
        <v>1</v>
      </c>
      <c r="I143" s="461" t="s">
        <v>3</v>
      </c>
      <c r="J143" s="463" t="s">
        <v>1</v>
      </c>
      <c r="K143" s="461" t="s">
        <v>4</v>
      </c>
      <c r="L143" s="463" t="s">
        <v>1</v>
      </c>
      <c r="M143" s="461" t="s">
        <v>5</v>
      </c>
      <c r="N143" s="463" t="s">
        <v>1</v>
      </c>
    </row>
    <row r="144" spans="1:14" x14ac:dyDescent="0.25">
      <c r="A144" s="464" t="str">
        <f>'PAI UBS Butantã'!A7</f>
        <v>Enfermeiro (consulta e VD)</v>
      </c>
      <c r="B144" s="633">
        <f>'PAI UBS Butantã'!B7</f>
        <v>100</v>
      </c>
      <c r="C144" s="630">
        <f>'PAI UBS Butantã'!C7</f>
        <v>115</v>
      </c>
      <c r="D144" s="629">
        <f>'PAI UBS Butantã'!D7</f>
        <v>0.14999999999999991</v>
      </c>
      <c r="E144" s="630">
        <f>'PAI UBS Butantã'!E7</f>
        <v>115</v>
      </c>
      <c r="F144" s="629">
        <f>'PAI UBS Butantã'!F7</f>
        <v>0.14999999999999991</v>
      </c>
      <c r="G144" s="630">
        <f>'PAI UBS Butantã'!G7</f>
        <v>114</v>
      </c>
      <c r="H144" s="629">
        <f>'PAI UBS Butantã'!H7</f>
        <v>0.1399999999999999</v>
      </c>
      <c r="I144" s="630">
        <f>'PAI UBS Butantã'!K7</f>
        <v>108</v>
      </c>
      <c r="J144" s="629">
        <f>'PAI UBS Butantã'!L7</f>
        <v>8.0000000000000071E-2</v>
      </c>
      <c r="K144" s="630">
        <f>'PAI UBS Butantã'!M7</f>
        <v>109</v>
      </c>
      <c r="L144" s="629">
        <f>'PAI UBS Butantã'!N7</f>
        <v>9.000000000000008E-2</v>
      </c>
      <c r="M144" s="630">
        <f>'PAI UBS Butantã'!O7</f>
        <v>102</v>
      </c>
      <c r="N144" s="629">
        <f>'PAI UBS Butantã'!P7</f>
        <v>2.0000000000000018E-2</v>
      </c>
    </row>
    <row r="145" spans="1:14" ht="24" x14ac:dyDescent="0.25">
      <c r="A145" s="464" t="str">
        <f>'PAI UBS Butantã'!A8</f>
        <v>Assistente Social (Sup de equipe)</v>
      </c>
      <c r="B145" s="633"/>
      <c r="C145" s="630"/>
      <c r="D145" s="629"/>
      <c r="E145" s="630"/>
      <c r="F145" s="629"/>
      <c r="G145" s="630"/>
      <c r="H145" s="629"/>
      <c r="I145" s="630"/>
      <c r="J145" s="629"/>
      <c r="K145" s="630"/>
      <c r="L145" s="629"/>
      <c r="M145" s="630"/>
      <c r="N145" s="629"/>
    </row>
    <row r="146" spans="1:14" ht="24" x14ac:dyDescent="0.25">
      <c r="A146" s="567" t="str">
        <f>'PAI UBS Butantã'!A9</f>
        <v>Aux/Técnico de Enfermagem (procedimentos)</v>
      </c>
      <c r="B146" s="633"/>
      <c r="C146" s="630"/>
      <c r="D146" s="629"/>
      <c r="E146" s="630"/>
      <c r="F146" s="629"/>
      <c r="G146" s="630"/>
      <c r="H146" s="629"/>
      <c r="I146" s="630"/>
      <c r="J146" s="629"/>
      <c r="K146" s="630"/>
      <c r="L146" s="629"/>
      <c r="M146" s="630"/>
      <c r="N146" s="629"/>
    </row>
    <row r="147" spans="1:14" x14ac:dyDescent="0.25">
      <c r="A147" s="464" t="str">
        <f>'PAI UBS Butantã'!A10</f>
        <v>Acompanhante de Idosos</v>
      </c>
      <c r="B147" s="633"/>
      <c r="C147" s="630"/>
      <c r="D147" s="629"/>
      <c r="E147" s="630"/>
      <c r="F147" s="629"/>
      <c r="G147" s="630"/>
      <c r="H147" s="629"/>
      <c r="I147" s="630"/>
      <c r="J147" s="629"/>
      <c r="K147" s="630"/>
      <c r="L147" s="629"/>
      <c r="M147" s="630"/>
      <c r="N147" s="629"/>
    </row>
    <row r="148" spans="1:14" ht="24" x14ac:dyDescent="0.25">
      <c r="A148" s="468" t="str">
        <f>'PAI UBS Butantã'!A11</f>
        <v>Médico Geriatra ou Clínico (Esp Gerontologia)</v>
      </c>
      <c r="B148" s="633"/>
      <c r="C148" s="630"/>
      <c r="D148" s="629"/>
      <c r="E148" s="630"/>
      <c r="F148" s="629"/>
      <c r="G148" s="630"/>
      <c r="H148" s="629"/>
      <c r="I148" s="630"/>
      <c r="J148" s="629"/>
      <c r="K148" s="630"/>
      <c r="L148" s="629"/>
      <c r="M148" s="630"/>
      <c r="N148" s="629"/>
    </row>
    <row r="149" spans="1:14" x14ac:dyDescent="0.25">
      <c r="A149" s="476" t="str">
        <f>'PAI UBS Butantã'!A12</f>
        <v>TOTAL DE IDOSOS EM ACOMPANHAMENTO</v>
      </c>
      <c r="B149" s="465">
        <f>'PAI UBS Butantã'!B12</f>
        <v>100</v>
      </c>
      <c r="C149" s="473">
        <f>'PAI UBS Butantã'!C12</f>
        <v>115</v>
      </c>
      <c r="D149" s="467">
        <f>'PAI UBS Butantã'!D12</f>
        <v>0.14999999999999991</v>
      </c>
      <c r="E149" s="473">
        <f>'PAI UBS Butantã'!E12</f>
        <v>115</v>
      </c>
      <c r="F149" s="467">
        <f>'PAI UBS Butantã'!F12</f>
        <v>0.14999999999999991</v>
      </c>
      <c r="G149" s="473">
        <f>'PAI UBS Butantã'!G12</f>
        <v>114</v>
      </c>
      <c r="H149" s="467">
        <f>'PAI UBS Butantã'!H12</f>
        <v>0.1399999999999999</v>
      </c>
      <c r="I149" s="473">
        <f>'PAI UBS Butantã'!K12</f>
        <v>108</v>
      </c>
      <c r="J149" s="467">
        <f>'PAI UBS Butantã'!L12</f>
        <v>8.0000000000000071E-2</v>
      </c>
      <c r="K149" s="473">
        <f>'PAI UBS Butantã'!M12</f>
        <v>109</v>
      </c>
      <c r="L149" s="467">
        <f>'PAI UBS Butantã'!N12</f>
        <v>9.000000000000008E-2</v>
      </c>
      <c r="M149" s="473">
        <f>'PAI UBS Butantã'!O12</f>
        <v>102</v>
      </c>
      <c r="N149" s="467">
        <f>'PAI UBS Butantã'!P12</f>
        <v>2.0000000000000018E-2</v>
      </c>
    </row>
    <row r="151" spans="1:14" ht="15.75" x14ac:dyDescent="0.25">
      <c r="A151" s="627" t="s">
        <v>237</v>
      </c>
      <c r="B151" s="628"/>
      <c r="C151" s="628"/>
      <c r="D151" s="628"/>
      <c r="E151" s="628"/>
      <c r="F151" s="628"/>
      <c r="G151" s="628"/>
      <c r="H151" s="628"/>
      <c r="I151" s="628"/>
      <c r="J151" s="628"/>
      <c r="K151" s="628"/>
      <c r="L151" s="628"/>
      <c r="M151" s="628"/>
      <c r="N151" s="628"/>
    </row>
    <row r="152" spans="1:14" ht="24" x14ac:dyDescent="0.25">
      <c r="A152" s="474" t="s">
        <v>12</v>
      </c>
      <c r="B152" s="568" t="s">
        <v>13</v>
      </c>
      <c r="C152" s="461" t="s">
        <v>260</v>
      </c>
      <c r="D152" s="463" t="s">
        <v>1</v>
      </c>
      <c r="E152" s="461" t="s">
        <v>261</v>
      </c>
      <c r="F152" s="463" t="s">
        <v>1</v>
      </c>
      <c r="G152" s="461" t="s">
        <v>2</v>
      </c>
      <c r="H152" s="463" t="s">
        <v>1</v>
      </c>
      <c r="I152" s="461" t="s">
        <v>3</v>
      </c>
      <c r="J152" s="463" t="s">
        <v>1</v>
      </c>
      <c r="K152" s="461" t="s">
        <v>4</v>
      </c>
      <c r="L152" s="463" t="s">
        <v>1</v>
      </c>
      <c r="M152" s="461" t="s">
        <v>5</v>
      </c>
      <c r="N152" s="463" t="s">
        <v>1</v>
      </c>
    </row>
    <row r="153" spans="1:14" x14ac:dyDescent="0.25">
      <c r="A153" s="475" t="str">
        <f>'HORA CERTA'!A7</f>
        <v>Cirurgia Geral (consulta)</v>
      </c>
      <c r="B153" s="469">
        <f>'HORA CERTA'!B7</f>
        <v>400</v>
      </c>
      <c r="C153" s="466">
        <f>'HORA CERTA'!C7</f>
        <v>0</v>
      </c>
      <c r="D153" s="467">
        <f>'HORA CERTA'!D7</f>
        <v>-1</v>
      </c>
      <c r="E153" s="466">
        <f>'HORA CERTA'!E7</f>
        <v>0</v>
      </c>
      <c r="F153" s="467">
        <f>'HORA CERTA'!F7</f>
        <v>-1</v>
      </c>
      <c r="G153" s="466">
        <f>'HORA CERTA'!G7</f>
        <v>0</v>
      </c>
      <c r="H153" s="467">
        <f>'HORA CERTA'!H7</f>
        <v>-1</v>
      </c>
      <c r="I153" s="466">
        <f>'HORA CERTA'!K7</f>
        <v>0</v>
      </c>
      <c r="J153" s="467">
        <f>'HORA CERTA'!L7</f>
        <v>-1</v>
      </c>
      <c r="K153" s="466">
        <f>'HORA CERTA'!M7</f>
        <v>0</v>
      </c>
      <c r="L153" s="467">
        <f>'HORA CERTA'!N7</f>
        <v>-1</v>
      </c>
      <c r="M153" s="466">
        <f>'HORA CERTA'!O7</f>
        <v>0</v>
      </c>
      <c r="N153" s="467">
        <f>'HORA CERTA'!P7</f>
        <v>-1</v>
      </c>
    </row>
    <row r="154" spans="1:14" x14ac:dyDescent="0.25">
      <c r="A154" s="475" t="str">
        <f>'HORA CERTA'!A8</f>
        <v>Cirurgia Vascular (consulta)</v>
      </c>
      <c r="B154" s="469">
        <f>'HORA CERTA'!B8</f>
        <v>400</v>
      </c>
      <c r="C154" s="466">
        <f>'HORA CERTA'!C8</f>
        <v>0</v>
      </c>
      <c r="D154" s="467">
        <f>'HORA CERTA'!D8</f>
        <v>-1</v>
      </c>
      <c r="E154" s="466">
        <f>'HORA CERTA'!E8</f>
        <v>0</v>
      </c>
      <c r="F154" s="467">
        <f>'HORA CERTA'!F8</f>
        <v>-1</v>
      </c>
      <c r="G154" s="466">
        <f>'HORA CERTA'!G8</f>
        <v>0</v>
      </c>
      <c r="H154" s="467">
        <f>'HORA CERTA'!H8</f>
        <v>-1</v>
      </c>
      <c r="I154" s="466">
        <f>'HORA CERTA'!K8</f>
        <v>0</v>
      </c>
      <c r="J154" s="467">
        <f>'HORA CERTA'!L8</f>
        <v>-1</v>
      </c>
      <c r="K154" s="466">
        <f>'HORA CERTA'!M8</f>
        <v>0</v>
      </c>
      <c r="L154" s="467">
        <f>'HORA CERTA'!N8</f>
        <v>-1</v>
      </c>
      <c r="M154" s="466">
        <f>'HORA CERTA'!O8</f>
        <v>0</v>
      </c>
      <c r="N154" s="467">
        <f>'HORA CERTA'!P8</f>
        <v>-1</v>
      </c>
    </row>
    <row r="155" spans="1:14" x14ac:dyDescent="0.25">
      <c r="A155" s="464" t="str">
        <f>'HORA CERTA'!A9</f>
        <v>Dermatologia - (consulta)</v>
      </c>
      <c r="B155" s="469">
        <f>'HORA CERTA'!B9</f>
        <v>300</v>
      </c>
      <c r="C155" s="466">
        <f>'HORA CERTA'!C9</f>
        <v>0</v>
      </c>
      <c r="D155" s="467">
        <f>'HORA CERTA'!D9</f>
        <v>-1</v>
      </c>
      <c r="E155" s="466">
        <f>'HORA CERTA'!E9</f>
        <v>0</v>
      </c>
      <c r="F155" s="467">
        <f>'HORA CERTA'!F9</f>
        <v>-1</v>
      </c>
      <c r="G155" s="466">
        <f>'HORA CERTA'!G9</f>
        <v>0</v>
      </c>
      <c r="H155" s="467">
        <f>'HORA CERTA'!H9</f>
        <v>-1</v>
      </c>
      <c r="I155" s="466">
        <f>'HORA CERTA'!K9</f>
        <v>0</v>
      </c>
      <c r="J155" s="467">
        <f>'HORA CERTA'!L9</f>
        <v>-1</v>
      </c>
      <c r="K155" s="466">
        <f>'HORA CERTA'!M9</f>
        <v>0</v>
      </c>
      <c r="L155" s="467">
        <f>'HORA CERTA'!N9</f>
        <v>-1</v>
      </c>
      <c r="M155" s="466">
        <f>'HORA CERTA'!O9</f>
        <v>0</v>
      </c>
      <c r="N155" s="467">
        <f>'HORA CERTA'!P9</f>
        <v>-1</v>
      </c>
    </row>
    <row r="156" spans="1:14" x14ac:dyDescent="0.25">
      <c r="A156" s="475" t="str">
        <f>'HORA CERTA'!A10</f>
        <v>Oftalmologia (consulta)</v>
      </c>
      <c r="B156" s="469">
        <f>'HORA CERTA'!B10</f>
        <v>300</v>
      </c>
      <c r="C156" s="466">
        <f>'HORA CERTA'!C10</f>
        <v>0</v>
      </c>
      <c r="D156" s="467">
        <f>'HORA CERTA'!D10</f>
        <v>-1</v>
      </c>
      <c r="E156" s="466">
        <f>'HORA CERTA'!E10</f>
        <v>0</v>
      </c>
      <c r="F156" s="467">
        <f>'HORA CERTA'!F10</f>
        <v>-1</v>
      </c>
      <c r="G156" s="466">
        <f>'HORA CERTA'!G10</f>
        <v>0</v>
      </c>
      <c r="H156" s="467">
        <f>'HORA CERTA'!H10</f>
        <v>-1</v>
      </c>
      <c r="I156" s="466">
        <f>'HORA CERTA'!K10</f>
        <v>0</v>
      </c>
      <c r="J156" s="467">
        <f>'HORA CERTA'!L10</f>
        <v>-1</v>
      </c>
      <c r="K156" s="466">
        <f>'HORA CERTA'!M10</f>
        <v>0</v>
      </c>
      <c r="L156" s="467">
        <f>'HORA CERTA'!N10</f>
        <v>-1</v>
      </c>
      <c r="M156" s="466">
        <f>'HORA CERTA'!O10</f>
        <v>0</v>
      </c>
      <c r="N156" s="467">
        <f>'HORA CERTA'!P10</f>
        <v>-1</v>
      </c>
    </row>
    <row r="157" spans="1:14" x14ac:dyDescent="0.25">
      <c r="A157" s="475" t="str">
        <f>'HORA CERTA'!A11</f>
        <v>Ortopedia (consulta)</v>
      </c>
      <c r="B157" s="469">
        <f>'HORA CERTA'!B11</f>
        <v>300</v>
      </c>
      <c r="C157" s="466">
        <f>'HORA CERTA'!C11</f>
        <v>0</v>
      </c>
      <c r="D157" s="467">
        <f>'HORA CERTA'!D11</f>
        <v>-1</v>
      </c>
      <c r="E157" s="466">
        <f>'HORA CERTA'!E11</f>
        <v>0</v>
      </c>
      <c r="F157" s="467">
        <f>'HORA CERTA'!F11</f>
        <v>-1</v>
      </c>
      <c r="G157" s="466">
        <f>'HORA CERTA'!G11</f>
        <v>0</v>
      </c>
      <c r="H157" s="467">
        <f>'HORA CERTA'!H11</f>
        <v>-1</v>
      </c>
      <c r="I157" s="466">
        <f>'HORA CERTA'!K11</f>
        <v>0</v>
      </c>
      <c r="J157" s="467">
        <f>'HORA CERTA'!L11</f>
        <v>-1</v>
      </c>
      <c r="K157" s="466">
        <f>'HORA CERTA'!M11</f>
        <v>0</v>
      </c>
      <c r="L157" s="467">
        <f>'HORA CERTA'!N11</f>
        <v>-1</v>
      </c>
      <c r="M157" s="466">
        <f>'HORA CERTA'!O11</f>
        <v>0</v>
      </c>
      <c r="N157" s="467">
        <f>'HORA CERTA'!P11</f>
        <v>-1</v>
      </c>
    </row>
    <row r="158" spans="1:14" x14ac:dyDescent="0.25">
      <c r="A158" s="475" t="str">
        <f>'HORA CERTA'!A12</f>
        <v>Otorrinolaringologia (consulta)</v>
      </c>
      <c r="B158" s="469">
        <f>'HORA CERTA'!B12</f>
        <v>300</v>
      </c>
      <c r="C158" s="466">
        <f>'HORA CERTA'!C12</f>
        <v>0</v>
      </c>
      <c r="D158" s="467">
        <f>'HORA CERTA'!D12</f>
        <v>-1</v>
      </c>
      <c r="E158" s="466">
        <f>'HORA CERTA'!E12</f>
        <v>0</v>
      </c>
      <c r="F158" s="467">
        <f>'HORA CERTA'!F12</f>
        <v>-1</v>
      </c>
      <c r="G158" s="466">
        <f>'HORA CERTA'!G12</f>
        <v>0</v>
      </c>
      <c r="H158" s="467">
        <f>'HORA CERTA'!H12</f>
        <v>-1</v>
      </c>
      <c r="I158" s="466">
        <f>'HORA CERTA'!K12</f>
        <v>0</v>
      </c>
      <c r="J158" s="467">
        <f>'HORA CERTA'!L12</f>
        <v>-1</v>
      </c>
      <c r="K158" s="466">
        <f>'HORA CERTA'!M12</f>
        <v>0</v>
      </c>
      <c r="L158" s="467">
        <f>'HORA CERTA'!N12</f>
        <v>-1</v>
      </c>
      <c r="M158" s="466">
        <f>'HORA CERTA'!O12</f>
        <v>0</v>
      </c>
      <c r="N158" s="467">
        <f>'HORA CERTA'!P12</f>
        <v>-1</v>
      </c>
    </row>
    <row r="159" spans="1:14" x14ac:dyDescent="0.25">
      <c r="A159" s="475" t="str">
        <f>'HORA CERTA'!A13</f>
        <v>Proctologia (consulta)</v>
      </c>
      <c r="B159" s="469">
        <f>'HORA CERTA'!B13</f>
        <v>400</v>
      </c>
      <c r="C159" s="466">
        <f>'HORA CERTA'!C13</f>
        <v>0</v>
      </c>
      <c r="D159" s="467">
        <f>'HORA CERTA'!D13</f>
        <v>-1</v>
      </c>
      <c r="E159" s="466">
        <f>'HORA CERTA'!E13</f>
        <v>0</v>
      </c>
      <c r="F159" s="467">
        <f>'HORA CERTA'!F13</f>
        <v>-1</v>
      </c>
      <c r="G159" s="466">
        <f>'HORA CERTA'!G13</f>
        <v>0</v>
      </c>
      <c r="H159" s="467">
        <f>'HORA CERTA'!H13</f>
        <v>-1</v>
      </c>
      <c r="I159" s="466">
        <f>'HORA CERTA'!K13</f>
        <v>0</v>
      </c>
      <c r="J159" s="467">
        <f>'HORA CERTA'!L13</f>
        <v>-1</v>
      </c>
      <c r="K159" s="466">
        <f>'HORA CERTA'!M13</f>
        <v>0</v>
      </c>
      <c r="L159" s="467">
        <f>'HORA CERTA'!N13</f>
        <v>-1</v>
      </c>
      <c r="M159" s="466">
        <f>'HORA CERTA'!O13</f>
        <v>0</v>
      </c>
      <c r="N159" s="467">
        <f>'HORA CERTA'!P13</f>
        <v>-1</v>
      </c>
    </row>
    <row r="160" spans="1:14" x14ac:dyDescent="0.25">
      <c r="A160" s="475" t="str">
        <f>'HORA CERTA'!A14</f>
        <v>Urologia (consulta)</v>
      </c>
      <c r="B160" s="469">
        <f>'HORA CERTA'!B14</f>
        <v>400</v>
      </c>
      <c r="C160" s="466">
        <f>'HORA CERTA'!C14</f>
        <v>0</v>
      </c>
      <c r="D160" s="467">
        <f>'HORA CERTA'!D14</f>
        <v>-1</v>
      </c>
      <c r="E160" s="466">
        <f>'HORA CERTA'!E14</f>
        <v>0</v>
      </c>
      <c r="F160" s="467">
        <f>'HORA CERTA'!F14</f>
        <v>-1</v>
      </c>
      <c r="G160" s="466">
        <f>'HORA CERTA'!G14</f>
        <v>0</v>
      </c>
      <c r="H160" s="467">
        <f>'HORA CERTA'!H14</f>
        <v>-1</v>
      </c>
      <c r="I160" s="466">
        <f>'HORA CERTA'!K14</f>
        <v>0</v>
      </c>
      <c r="J160" s="467">
        <f>'HORA CERTA'!L14</f>
        <v>-1</v>
      </c>
      <c r="K160" s="466">
        <f>'HORA CERTA'!M14</f>
        <v>0</v>
      </c>
      <c r="L160" s="467">
        <f>'HORA CERTA'!N14</f>
        <v>-1</v>
      </c>
      <c r="M160" s="466">
        <f>'HORA CERTA'!O14</f>
        <v>0</v>
      </c>
      <c r="N160" s="467">
        <f>'HORA CERTA'!P14</f>
        <v>-1</v>
      </c>
    </row>
    <row r="161" spans="1:14" x14ac:dyDescent="0.25">
      <c r="A161" s="476" t="str">
        <f>'HORA CERTA'!A15</f>
        <v>SOMA</v>
      </c>
      <c r="B161" s="469">
        <f>'HORA CERTA'!B15</f>
        <v>2800</v>
      </c>
      <c r="C161" s="473">
        <f>'HORA CERTA'!C15</f>
        <v>0</v>
      </c>
      <c r="D161" s="467">
        <f>'HORA CERTA'!D15</f>
        <v>-1</v>
      </c>
      <c r="E161" s="473">
        <f>'HORA CERTA'!E15</f>
        <v>0</v>
      </c>
      <c r="F161" s="467">
        <f>'HORA CERTA'!F15</f>
        <v>-1</v>
      </c>
      <c r="G161" s="473">
        <f>'HORA CERTA'!G15</f>
        <v>0</v>
      </c>
      <c r="H161" s="467">
        <f>'HORA CERTA'!H15</f>
        <v>-1</v>
      </c>
      <c r="I161" s="473">
        <f>'HORA CERTA'!K15</f>
        <v>0</v>
      </c>
      <c r="J161" s="467">
        <f>'HORA CERTA'!L15</f>
        <v>-1</v>
      </c>
      <c r="K161" s="473">
        <f>'HORA CERTA'!M15</f>
        <v>0</v>
      </c>
      <c r="L161" s="467">
        <f>'HORA CERTA'!N15</f>
        <v>-1</v>
      </c>
      <c r="M161" s="473">
        <f>'HORA CERTA'!O15</f>
        <v>0</v>
      </c>
      <c r="N161" s="467">
        <f>'HORA CERTA'!P15</f>
        <v>-1</v>
      </c>
    </row>
    <row r="162" spans="1:14" x14ac:dyDescent="0.25">
      <c r="A162" s="569"/>
      <c r="B162" s="569"/>
      <c r="C162" s="569"/>
      <c r="D162" s="569"/>
      <c r="E162" s="569"/>
      <c r="F162" s="569"/>
      <c r="G162" s="569"/>
      <c r="H162" s="569"/>
      <c r="I162" s="569"/>
      <c r="J162" s="569"/>
      <c r="K162" s="569"/>
      <c r="L162" s="569"/>
      <c r="M162" s="569"/>
      <c r="N162" s="569"/>
    </row>
    <row r="163" spans="1:14" ht="15.75" x14ac:dyDescent="0.25">
      <c r="A163" s="634" t="s">
        <v>237</v>
      </c>
      <c r="B163" s="635"/>
      <c r="C163" s="635"/>
      <c r="D163" s="635"/>
      <c r="E163" s="635"/>
      <c r="F163" s="635"/>
      <c r="G163" s="635"/>
      <c r="H163" s="635"/>
      <c r="I163" s="635"/>
      <c r="J163" s="635"/>
      <c r="K163" s="635"/>
      <c r="L163" s="635"/>
      <c r="M163" s="635"/>
      <c r="N163" s="635"/>
    </row>
    <row r="164" spans="1:14" ht="24" x14ac:dyDescent="0.25">
      <c r="A164" s="474" t="s">
        <v>12</v>
      </c>
      <c r="B164" s="568" t="s">
        <v>13</v>
      </c>
      <c r="C164" s="461" t="s">
        <v>260</v>
      </c>
      <c r="D164" s="463" t="s">
        <v>1</v>
      </c>
      <c r="E164" s="461" t="s">
        <v>261</v>
      </c>
      <c r="F164" s="463" t="s">
        <v>1</v>
      </c>
      <c r="G164" s="461" t="s">
        <v>2</v>
      </c>
      <c r="H164" s="463" t="s">
        <v>1</v>
      </c>
      <c r="I164" s="461" t="s">
        <v>3</v>
      </c>
      <c r="J164" s="463" t="s">
        <v>1</v>
      </c>
      <c r="K164" s="461" t="s">
        <v>4</v>
      </c>
      <c r="L164" s="463" t="s">
        <v>1</v>
      </c>
      <c r="M164" s="461" t="s">
        <v>5</v>
      </c>
      <c r="N164" s="463" t="s">
        <v>1</v>
      </c>
    </row>
    <row r="165" spans="1:14" x14ac:dyDescent="0.25">
      <c r="A165" s="475" t="str">
        <f>'HORA CERTA'!A19</f>
        <v>Cirurgia</v>
      </c>
      <c r="B165" s="469">
        <f>'HORA CERTA'!B19</f>
        <v>240</v>
      </c>
      <c r="C165" s="466">
        <f>'HORA CERTA'!C19</f>
        <v>0</v>
      </c>
      <c r="D165" s="467">
        <f>'HORA CERTA'!D19</f>
        <v>-1</v>
      </c>
      <c r="E165" s="466">
        <f>'HORA CERTA'!E19</f>
        <v>0</v>
      </c>
      <c r="F165" s="467">
        <f>'HORA CERTA'!F19</f>
        <v>-1</v>
      </c>
      <c r="G165" s="466">
        <f>'HORA CERTA'!G19</f>
        <v>0</v>
      </c>
      <c r="H165" s="467">
        <f>'HORA CERTA'!H19</f>
        <v>-1</v>
      </c>
      <c r="I165" s="466">
        <f>'HORA CERTA'!K19</f>
        <v>0</v>
      </c>
      <c r="J165" s="467">
        <f>'HORA CERTA'!L19</f>
        <v>-1</v>
      </c>
      <c r="K165" s="466">
        <f>'HORA CERTA'!M19</f>
        <v>0</v>
      </c>
      <c r="L165" s="467">
        <f>'HORA CERTA'!N19</f>
        <v>-1</v>
      </c>
      <c r="M165" s="466">
        <f>'HORA CERTA'!O19</f>
        <v>0</v>
      </c>
      <c r="N165" s="467">
        <f>'HORA CERTA'!P19</f>
        <v>-1</v>
      </c>
    </row>
    <row r="166" spans="1:14" x14ac:dyDescent="0.25">
      <c r="A166" s="476" t="str">
        <f>'HORA CERTA'!A20</f>
        <v>SOMA</v>
      </c>
      <c r="B166" s="469">
        <f>'HORA CERTA'!B20</f>
        <v>240</v>
      </c>
      <c r="C166" s="473">
        <f>'HORA CERTA'!C20</f>
        <v>0</v>
      </c>
      <c r="D166" s="467">
        <f>'HORA CERTA'!D20</f>
        <v>-1</v>
      </c>
      <c r="E166" s="473">
        <f>'HORA CERTA'!E20</f>
        <v>0</v>
      </c>
      <c r="F166" s="467">
        <f>'HORA CERTA'!F20</f>
        <v>-1</v>
      </c>
      <c r="G166" s="473">
        <f>'HORA CERTA'!G20</f>
        <v>0</v>
      </c>
      <c r="H166" s="467">
        <f>'HORA CERTA'!H20</f>
        <v>-1</v>
      </c>
      <c r="I166" s="473">
        <f>'HORA CERTA'!K20</f>
        <v>0</v>
      </c>
      <c r="J166" s="467">
        <f>'HORA CERTA'!L20</f>
        <v>-1</v>
      </c>
      <c r="K166" s="473">
        <f>'HORA CERTA'!M20</f>
        <v>0</v>
      </c>
      <c r="L166" s="467">
        <f>'HORA CERTA'!N20</f>
        <v>-1</v>
      </c>
      <c r="M166" s="473">
        <f>'HORA CERTA'!O20</f>
        <v>0</v>
      </c>
      <c r="N166" s="467">
        <f>'HORA CERTA'!P20</f>
        <v>-1</v>
      </c>
    </row>
    <row r="168" spans="1:14" s="569" customFormat="1" ht="15.75" x14ac:dyDescent="0.25">
      <c r="A168" s="627" t="s">
        <v>330</v>
      </c>
      <c r="B168" s="628"/>
      <c r="C168" s="628"/>
      <c r="D168" s="628"/>
      <c r="E168" s="628"/>
      <c r="F168" s="628"/>
      <c r="G168" s="628"/>
      <c r="H168" s="628"/>
      <c r="I168" s="628"/>
      <c r="J168" s="628"/>
      <c r="K168" s="628"/>
      <c r="L168" s="628"/>
      <c r="M168" s="628"/>
      <c r="N168" s="628"/>
    </row>
    <row r="169" spans="1:14" s="569" customFormat="1" ht="24.75" thickBot="1" x14ac:dyDescent="0.3">
      <c r="A169" s="507" t="s">
        <v>12</v>
      </c>
      <c r="B169" s="508" t="s">
        <v>13</v>
      </c>
      <c r="C169" s="461" t="s">
        <v>260</v>
      </c>
      <c r="D169" s="463" t="s">
        <v>1</v>
      </c>
      <c r="E169" s="461" t="s">
        <v>261</v>
      </c>
      <c r="F169" s="463" t="s">
        <v>1</v>
      </c>
      <c r="G169" s="461" t="s">
        <v>2</v>
      </c>
      <c r="H169" s="463" t="s">
        <v>1</v>
      </c>
      <c r="I169" s="461" t="s">
        <v>3</v>
      </c>
      <c r="J169" s="463" t="s">
        <v>1</v>
      </c>
      <c r="K169" s="461" t="s">
        <v>4</v>
      </c>
      <c r="L169" s="463" t="s">
        <v>1</v>
      </c>
      <c r="M169" s="461" t="s">
        <v>5</v>
      </c>
      <c r="N169" s="463" t="s">
        <v>1</v>
      </c>
    </row>
    <row r="170" spans="1:14" s="569" customFormat="1" ht="15.75" thickTop="1" x14ac:dyDescent="0.25">
      <c r="A170" s="576" t="str">
        <f>'HORA CERTA'!A24</f>
        <v>Ecocardiograma</v>
      </c>
      <c r="B170" s="469">
        <f>'HORA CERTA'!B24</f>
        <v>288</v>
      </c>
      <c r="C170" s="466">
        <f>'HORA CERTA'!C24</f>
        <v>0</v>
      </c>
      <c r="D170" s="467">
        <f>'HORA CERTA'!D24</f>
        <v>-1</v>
      </c>
      <c r="E170" s="466">
        <f>'HORA CERTA'!E24</f>
        <v>0</v>
      </c>
      <c r="F170" s="467">
        <f>'HORA CERTA'!F24</f>
        <v>-1</v>
      </c>
      <c r="G170" s="466">
        <f>'HORA CERTA'!G24</f>
        <v>0</v>
      </c>
      <c r="H170" s="467">
        <f>'HORA CERTA'!H24</f>
        <v>-1</v>
      </c>
      <c r="I170" s="466">
        <f>'HORA CERTA'!K24</f>
        <v>0</v>
      </c>
      <c r="J170" s="467">
        <f>'HORA CERTA'!L24</f>
        <v>-1</v>
      </c>
      <c r="K170" s="466">
        <f>'HORA CERTA'!M24</f>
        <v>0</v>
      </c>
      <c r="L170" s="467">
        <f>'HORA CERTA'!N24</f>
        <v>-1</v>
      </c>
      <c r="M170" s="466">
        <f>'HORA CERTA'!O24</f>
        <v>0</v>
      </c>
      <c r="N170" s="467">
        <f>'HORA CERTA'!P24</f>
        <v>-1</v>
      </c>
    </row>
    <row r="171" spans="1:14" s="569" customFormat="1" x14ac:dyDescent="0.25">
      <c r="A171" s="475" t="str">
        <f>'HORA CERTA'!A25</f>
        <v>Eletrocardiograma</v>
      </c>
      <c r="B171" s="510">
        <f>'HORA CERTA'!B25</f>
        <v>480</v>
      </c>
      <c r="C171" s="511">
        <f>'HORA CERTA'!C25</f>
        <v>0</v>
      </c>
      <c r="D171" s="467">
        <f>'HORA CERTA'!D25</f>
        <v>-1</v>
      </c>
      <c r="E171" s="511">
        <f>'HORA CERTA'!E25</f>
        <v>0</v>
      </c>
      <c r="F171" s="467">
        <f>'HORA CERTA'!F25</f>
        <v>-1</v>
      </c>
      <c r="G171" s="511">
        <f>'HORA CERTA'!G25</f>
        <v>0</v>
      </c>
      <c r="H171" s="506">
        <f>'HORA CERTA'!H25</f>
        <v>-1</v>
      </c>
      <c r="I171" s="511">
        <f>'HORA CERTA'!K25</f>
        <v>0</v>
      </c>
      <c r="J171" s="506">
        <f>'HORA CERTA'!L25</f>
        <v>-1</v>
      </c>
      <c r="K171" s="511">
        <f>'HORA CERTA'!M25</f>
        <v>0</v>
      </c>
      <c r="L171" s="506">
        <f>'HORA CERTA'!N25</f>
        <v>-1</v>
      </c>
      <c r="M171" s="511">
        <f>'HORA CERTA'!O25</f>
        <v>0</v>
      </c>
      <c r="N171" s="506">
        <f>'HORA CERTA'!P25</f>
        <v>-1</v>
      </c>
    </row>
    <row r="172" spans="1:14" s="569" customFormat="1" x14ac:dyDescent="0.25">
      <c r="A172" s="475" t="str">
        <f>'HORA CERTA'!A26</f>
        <v>Holter</v>
      </c>
      <c r="B172" s="510">
        <f>'HORA CERTA'!B26</f>
        <v>100</v>
      </c>
      <c r="C172" s="511">
        <f>'HORA CERTA'!C26</f>
        <v>0</v>
      </c>
      <c r="D172" s="467">
        <f>'HORA CERTA'!D26</f>
        <v>-1</v>
      </c>
      <c r="E172" s="511">
        <f>'HORA CERTA'!E26</f>
        <v>0</v>
      </c>
      <c r="F172" s="467">
        <f>'HORA CERTA'!F26</f>
        <v>-1</v>
      </c>
      <c r="G172" s="511">
        <f>'HORA CERTA'!G26</f>
        <v>0</v>
      </c>
      <c r="H172" s="506">
        <f>'HORA CERTA'!H26</f>
        <v>-1</v>
      </c>
      <c r="I172" s="511">
        <f>'HORA CERTA'!K26</f>
        <v>0</v>
      </c>
      <c r="J172" s="506">
        <f>'HORA CERTA'!L26</f>
        <v>-1</v>
      </c>
      <c r="K172" s="511">
        <f>'HORA CERTA'!M26</f>
        <v>0</v>
      </c>
      <c r="L172" s="506">
        <f>'HORA CERTA'!N26</f>
        <v>-1</v>
      </c>
      <c r="M172" s="511">
        <f>'HORA CERTA'!O26</f>
        <v>0</v>
      </c>
      <c r="N172" s="506">
        <f>'HORA CERTA'!P26</f>
        <v>-1</v>
      </c>
    </row>
    <row r="173" spans="1:14" s="569" customFormat="1" x14ac:dyDescent="0.25">
      <c r="A173" s="475" t="str">
        <f>'HORA CERTA'!A27</f>
        <v>Mapa</v>
      </c>
      <c r="B173" s="469">
        <f>'HORA CERTA'!B27</f>
        <v>40</v>
      </c>
      <c r="C173" s="466">
        <f>'HORA CERTA'!C27</f>
        <v>0</v>
      </c>
      <c r="D173" s="467">
        <f>'HORA CERTA'!D27</f>
        <v>-1</v>
      </c>
      <c r="E173" s="466">
        <f>'HORA CERTA'!E27</f>
        <v>0</v>
      </c>
      <c r="F173" s="467">
        <f>'HORA CERTA'!F27</f>
        <v>-1</v>
      </c>
      <c r="G173" s="466">
        <f>'HORA CERTA'!G27</f>
        <v>0</v>
      </c>
      <c r="H173" s="467">
        <f>'HORA CERTA'!H27</f>
        <v>-1</v>
      </c>
      <c r="I173" s="466">
        <f>'HORA CERTA'!K27</f>
        <v>0</v>
      </c>
      <c r="J173" s="467">
        <f>'HORA CERTA'!L27</f>
        <v>-1</v>
      </c>
      <c r="K173" s="466">
        <f>'HORA CERTA'!M27</f>
        <v>0</v>
      </c>
      <c r="L173" s="467">
        <f>'HORA CERTA'!N27</f>
        <v>-1</v>
      </c>
      <c r="M173" s="466">
        <f>'HORA CERTA'!O27</f>
        <v>0</v>
      </c>
      <c r="N173" s="467">
        <f>'HORA CERTA'!P27</f>
        <v>-1</v>
      </c>
    </row>
    <row r="174" spans="1:14" s="569" customFormat="1" x14ac:dyDescent="0.25">
      <c r="A174" s="475" t="str">
        <f>'HORA CERTA'!A28</f>
        <v>Teste Ergométrico</v>
      </c>
      <c r="B174" s="469">
        <f>'HORA CERTA'!B28</f>
        <v>192</v>
      </c>
      <c r="C174" s="466">
        <f>'HORA CERTA'!C28</f>
        <v>0</v>
      </c>
      <c r="D174" s="467">
        <f>'HORA CERTA'!D28</f>
        <v>-1</v>
      </c>
      <c r="E174" s="466">
        <f>'HORA CERTA'!E28</f>
        <v>0</v>
      </c>
      <c r="F174" s="467">
        <f>'HORA CERTA'!F28</f>
        <v>-1</v>
      </c>
      <c r="G174" s="466">
        <f>'HORA CERTA'!G28</f>
        <v>0</v>
      </c>
      <c r="H174" s="467">
        <f>'HORA CERTA'!H28</f>
        <v>-1</v>
      </c>
      <c r="I174" s="466">
        <f>'HORA CERTA'!K28</f>
        <v>0</v>
      </c>
      <c r="J174" s="467">
        <f>'HORA CERTA'!L28</f>
        <v>-1</v>
      </c>
      <c r="K174" s="466">
        <f>'HORA CERTA'!M28</f>
        <v>0</v>
      </c>
      <c r="L174" s="467">
        <f>'HORA CERTA'!N28</f>
        <v>-1</v>
      </c>
      <c r="M174" s="466">
        <f>'HORA CERTA'!O28</f>
        <v>0</v>
      </c>
      <c r="N174" s="467">
        <f>'HORA CERTA'!P28</f>
        <v>-1</v>
      </c>
    </row>
    <row r="175" spans="1:14" s="569" customFormat="1" x14ac:dyDescent="0.25">
      <c r="A175" s="513" t="str">
        <f>'HORA CERTA'!A29</f>
        <v>Endoscopia Digestiva Alta</v>
      </c>
      <c r="B175" s="510">
        <f>'HORA CERTA'!B29</f>
        <v>240</v>
      </c>
      <c r="C175" s="511">
        <f>'HORA CERTA'!C29</f>
        <v>0</v>
      </c>
      <c r="D175" s="467">
        <f>'HORA CERTA'!D29</f>
        <v>-1</v>
      </c>
      <c r="E175" s="511">
        <f>'HORA CERTA'!E29</f>
        <v>0</v>
      </c>
      <c r="F175" s="467">
        <f>'HORA CERTA'!F29</f>
        <v>-1</v>
      </c>
      <c r="G175" s="511">
        <f>'HORA CERTA'!G29</f>
        <v>0</v>
      </c>
      <c r="H175" s="467">
        <f>'HORA CERTA'!H29</f>
        <v>-1</v>
      </c>
      <c r="I175" s="511">
        <f>'HORA CERTA'!K29</f>
        <v>0</v>
      </c>
      <c r="J175" s="467">
        <f>'HORA CERTA'!L29</f>
        <v>-1</v>
      </c>
      <c r="K175" s="511">
        <f>'HORA CERTA'!M29</f>
        <v>0</v>
      </c>
      <c r="L175" s="467">
        <f>'HORA CERTA'!N29</f>
        <v>-1</v>
      </c>
      <c r="M175" s="511">
        <f>'HORA CERTA'!O29</f>
        <v>0</v>
      </c>
      <c r="N175" s="467">
        <f>'HORA CERTA'!P29</f>
        <v>-1</v>
      </c>
    </row>
    <row r="176" spans="1:14" s="569" customFormat="1" x14ac:dyDescent="0.25">
      <c r="A176" s="513" t="str">
        <f>'HORA CERTA'!A30</f>
        <v>Colonoscopia</v>
      </c>
      <c r="B176" s="510">
        <f>'HORA CERTA'!B30</f>
        <v>288</v>
      </c>
      <c r="C176" s="511">
        <f>'HORA CERTA'!C30</f>
        <v>0</v>
      </c>
      <c r="D176" s="506">
        <f>'HORA CERTA'!D30</f>
        <v>-1</v>
      </c>
      <c r="E176" s="511">
        <f>'HORA CERTA'!E30</f>
        <v>0</v>
      </c>
      <c r="F176" s="506">
        <f>'HORA CERTA'!F30</f>
        <v>-1</v>
      </c>
      <c r="G176" s="511">
        <f>'HORA CERTA'!G30</f>
        <v>0</v>
      </c>
      <c r="H176" s="506">
        <f>'HORA CERTA'!H30</f>
        <v>-1</v>
      </c>
      <c r="I176" s="511">
        <f>'HORA CERTA'!K30</f>
        <v>0</v>
      </c>
      <c r="J176" s="506">
        <f>'HORA CERTA'!L30</f>
        <v>-1</v>
      </c>
      <c r="K176" s="511">
        <f>'HORA CERTA'!M30</f>
        <v>0</v>
      </c>
      <c r="L176" s="506">
        <f>'HORA CERTA'!N30</f>
        <v>-1</v>
      </c>
      <c r="M176" s="511">
        <f>'HORA CERTA'!O30</f>
        <v>0</v>
      </c>
      <c r="N176" s="506">
        <f>'HORA CERTA'!P30</f>
        <v>-1</v>
      </c>
    </row>
    <row r="177" spans="1:14" s="569" customFormat="1" x14ac:dyDescent="0.25">
      <c r="A177" s="475" t="str">
        <f>'HORA CERTA'!A31</f>
        <v>Avaliação Urodinâmica Completa</v>
      </c>
      <c r="B177" s="469">
        <f>'HORA CERTA'!B31</f>
        <v>48</v>
      </c>
      <c r="C177" s="466">
        <f>'HORA CERTA'!C31</f>
        <v>0</v>
      </c>
      <c r="D177" s="506">
        <f>'HORA CERTA'!D31</f>
        <v>-1</v>
      </c>
      <c r="E177" s="466">
        <f>'HORA CERTA'!E31</f>
        <v>0</v>
      </c>
      <c r="F177" s="506">
        <f>'HORA CERTA'!F31</f>
        <v>-1</v>
      </c>
      <c r="G177" s="466">
        <f>'HORA CERTA'!G31</f>
        <v>0</v>
      </c>
      <c r="H177" s="506">
        <f>'HORA CERTA'!H31</f>
        <v>-1</v>
      </c>
      <c r="I177" s="466">
        <f>'HORA CERTA'!K31</f>
        <v>0</v>
      </c>
      <c r="J177" s="506">
        <f>'HORA CERTA'!L31</f>
        <v>-1</v>
      </c>
      <c r="K177" s="466">
        <f>'HORA CERTA'!M31</f>
        <v>0</v>
      </c>
      <c r="L177" s="506">
        <f>'HORA CERTA'!N31</f>
        <v>-1</v>
      </c>
      <c r="M177" s="466">
        <f>'HORA CERTA'!O31</f>
        <v>0</v>
      </c>
      <c r="N177" s="506">
        <f>'HORA CERTA'!P31</f>
        <v>-1</v>
      </c>
    </row>
    <row r="178" spans="1:14" s="569" customFormat="1" x14ac:dyDescent="0.25">
      <c r="A178" s="475" t="str">
        <f>'HORA CERTA'!A32</f>
        <v>Nasofibroscopia</v>
      </c>
      <c r="B178" s="469">
        <f>'HORA CERTA'!B32</f>
        <v>96</v>
      </c>
      <c r="C178" s="466">
        <f>'HORA CERTA'!C32</f>
        <v>0</v>
      </c>
      <c r="D178" s="506">
        <f>'HORA CERTA'!D32</f>
        <v>-1</v>
      </c>
      <c r="E178" s="466">
        <f>'HORA CERTA'!E32</f>
        <v>0</v>
      </c>
      <c r="F178" s="506">
        <f>'HORA CERTA'!F32</f>
        <v>-1</v>
      </c>
      <c r="G178" s="466">
        <f>'HORA CERTA'!G32</f>
        <v>0</v>
      </c>
      <c r="H178" s="506">
        <f>'HORA CERTA'!H32</f>
        <v>-1</v>
      </c>
      <c r="I178" s="466">
        <f>'HORA CERTA'!K32</f>
        <v>0</v>
      </c>
      <c r="J178" s="506">
        <f>'HORA CERTA'!L32</f>
        <v>-1</v>
      </c>
      <c r="K178" s="466">
        <f>'HORA CERTA'!M32</f>
        <v>0</v>
      </c>
      <c r="L178" s="506">
        <f>'HORA CERTA'!N32</f>
        <v>-1</v>
      </c>
      <c r="M178" s="466">
        <f>'HORA CERTA'!O32</f>
        <v>0</v>
      </c>
      <c r="N178" s="506">
        <f>'HORA CERTA'!P32</f>
        <v>-1</v>
      </c>
    </row>
    <row r="179" spans="1:14" s="569" customFormat="1" x14ac:dyDescent="0.25">
      <c r="A179" s="475" t="str">
        <f>'HORA CERTA'!A33</f>
        <v>Ultrassom Geral</v>
      </c>
      <c r="B179" s="469">
        <f>'HORA CERTA'!B33</f>
        <v>864</v>
      </c>
      <c r="C179" s="466">
        <f>'HORA CERTA'!C33</f>
        <v>0</v>
      </c>
      <c r="D179" s="506">
        <f>'HORA CERTA'!D33</f>
        <v>-1</v>
      </c>
      <c r="E179" s="466">
        <f>'HORA CERTA'!E33</f>
        <v>0</v>
      </c>
      <c r="F179" s="506">
        <f>'HORA CERTA'!F33</f>
        <v>-1</v>
      </c>
      <c r="G179" s="466">
        <f>'HORA CERTA'!G33</f>
        <v>0</v>
      </c>
      <c r="H179" s="506">
        <f>'HORA CERTA'!H33</f>
        <v>-1</v>
      </c>
      <c r="I179" s="466">
        <f>'HORA CERTA'!K33</f>
        <v>0</v>
      </c>
      <c r="J179" s="506">
        <f>'HORA CERTA'!L33</f>
        <v>-1</v>
      </c>
      <c r="K179" s="466">
        <f>'HORA CERTA'!M33</f>
        <v>0</v>
      </c>
      <c r="L179" s="506">
        <f>'HORA CERTA'!N33</f>
        <v>-1</v>
      </c>
      <c r="M179" s="466">
        <f>'HORA CERTA'!O33</f>
        <v>0</v>
      </c>
      <c r="N179" s="506">
        <f>'HORA CERTA'!P33</f>
        <v>-1</v>
      </c>
    </row>
    <row r="180" spans="1:14" s="569" customFormat="1" ht="15.75" thickBot="1" x14ac:dyDescent="0.3">
      <c r="A180" s="513" t="str">
        <f>'HORA CERTA'!A34</f>
        <v>US Doppler Vascular</v>
      </c>
      <c r="B180" s="510">
        <f>'HORA CERTA'!B34</f>
        <v>288</v>
      </c>
      <c r="C180" s="511">
        <f>'HORA CERTA'!C34</f>
        <v>0</v>
      </c>
      <c r="D180" s="506">
        <f>'HORA CERTA'!D34</f>
        <v>-1</v>
      </c>
      <c r="E180" s="511">
        <f>'HORA CERTA'!E34</f>
        <v>0</v>
      </c>
      <c r="F180" s="506">
        <f>'HORA CERTA'!F34</f>
        <v>-1</v>
      </c>
      <c r="G180" s="511">
        <f>'HORA CERTA'!G34</f>
        <v>0</v>
      </c>
      <c r="H180" s="506">
        <f>'HORA CERTA'!H34</f>
        <v>-1</v>
      </c>
      <c r="I180" s="511">
        <f>'HORA CERTA'!K34</f>
        <v>0</v>
      </c>
      <c r="J180" s="506">
        <f>'HORA CERTA'!L34</f>
        <v>-1</v>
      </c>
      <c r="K180" s="511">
        <f>'HORA CERTA'!M34</f>
        <v>0</v>
      </c>
      <c r="L180" s="506">
        <f>'HORA CERTA'!N34</f>
        <v>-1</v>
      </c>
      <c r="M180" s="511">
        <f>'HORA CERTA'!O34</f>
        <v>0</v>
      </c>
      <c r="N180" s="506">
        <f>'HORA CERTA'!P34</f>
        <v>-1</v>
      </c>
    </row>
    <row r="181" spans="1:14" s="569" customFormat="1" ht="15.75" thickBot="1" x14ac:dyDescent="0.3">
      <c r="A181" s="488" t="str">
        <f>'HORA CERTA'!A35</f>
        <v>SOMA</v>
      </c>
      <c r="B181" s="515">
        <f>'HORA CERTA'!B35</f>
        <v>2924</v>
      </c>
      <c r="C181" s="490">
        <f>'HORA CERTA'!C35</f>
        <v>0</v>
      </c>
      <c r="D181" s="491">
        <f>'HORA CERTA'!D35</f>
        <v>-1</v>
      </c>
      <c r="E181" s="490">
        <f>'HORA CERTA'!E35</f>
        <v>0</v>
      </c>
      <c r="F181" s="491">
        <f>'HORA CERTA'!F35</f>
        <v>-1</v>
      </c>
      <c r="G181" s="490">
        <f>'HORA CERTA'!G35</f>
        <v>0</v>
      </c>
      <c r="H181" s="516">
        <f>'HORA CERTA'!H35</f>
        <v>-1</v>
      </c>
      <c r="I181" s="490">
        <f>'HORA CERTA'!K35</f>
        <v>0</v>
      </c>
      <c r="J181" s="491">
        <f>'HORA CERTA'!L35</f>
        <v>-1</v>
      </c>
      <c r="K181" s="490">
        <f>'HORA CERTA'!M35</f>
        <v>0</v>
      </c>
      <c r="L181" s="491">
        <f>'HORA CERTA'!N35</f>
        <v>-1</v>
      </c>
      <c r="M181" s="490">
        <f>'HORA CERTA'!O35</f>
        <v>0</v>
      </c>
      <c r="N181" s="516">
        <f>'HORA CERTA'!P35</f>
        <v>-1</v>
      </c>
    </row>
    <row r="182" spans="1:14" s="569" customFormat="1" x14ac:dyDescent="0.25"/>
  </sheetData>
  <mergeCells count="31">
    <mergeCell ref="A47:N47"/>
    <mergeCell ref="A61:N61"/>
    <mergeCell ref="A77:N77"/>
    <mergeCell ref="A92:N92"/>
    <mergeCell ref="A6:N6"/>
    <mergeCell ref="A2:N2"/>
    <mergeCell ref="A3:N3"/>
    <mergeCell ref="A18:N18"/>
    <mergeCell ref="A31:N31"/>
    <mergeCell ref="A40:N40"/>
    <mergeCell ref="A151:N151"/>
    <mergeCell ref="A163:N163"/>
    <mergeCell ref="I144:I148"/>
    <mergeCell ref="J144:J148"/>
    <mergeCell ref="K144:K148"/>
    <mergeCell ref="E144:E148"/>
    <mergeCell ref="F144:F148"/>
    <mergeCell ref="A102:N102"/>
    <mergeCell ref="A168:N168"/>
    <mergeCell ref="L144:L148"/>
    <mergeCell ref="M144:M148"/>
    <mergeCell ref="N144:N148"/>
    <mergeCell ref="A108:N108"/>
    <mergeCell ref="A120:N120"/>
    <mergeCell ref="A135:N135"/>
    <mergeCell ref="A142:N142"/>
    <mergeCell ref="B144:B148"/>
    <mergeCell ref="C144:C148"/>
    <mergeCell ref="D144:D148"/>
    <mergeCell ref="G144:G148"/>
    <mergeCell ref="H144:H148"/>
  </mergeCells>
  <pageMargins left="0.511811024" right="0.511811024" top="0.78740157499999996" bottom="0.78740157499999996" header="0.31496062000000002" footer="0.31496062000000002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CC66"/>
  </sheetPr>
  <dimension ref="A1:S4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2" sqref="G22"/>
    </sheetView>
  </sheetViews>
  <sheetFormatPr defaultRowHeight="15" x14ac:dyDescent="0.25"/>
  <cols>
    <col min="1" max="1" width="14.7109375" bestFit="1" customWidth="1"/>
    <col min="2" max="2" width="39.7109375" customWidth="1"/>
    <col min="3" max="3" width="8.42578125" style="250" customWidth="1"/>
    <col min="4" max="4" width="8.140625" style="211" bestFit="1" customWidth="1"/>
    <col min="5" max="5" width="6.42578125" style="250" bestFit="1" customWidth="1"/>
    <col min="6" max="6" width="7.85546875" style="211" bestFit="1" customWidth="1"/>
    <col min="7" max="7" width="8.140625" style="250" customWidth="1"/>
    <col min="8" max="8" width="8.7109375" style="211" bestFit="1" customWidth="1"/>
    <col min="9" max="9" width="8.7109375" style="250" bestFit="1" customWidth="1"/>
    <col min="10" max="10" width="10" style="250" customWidth="1"/>
    <col min="11" max="11" width="11.28515625" style="250" customWidth="1"/>
    <col min="12" max="12" width="7.7109375" style="211" bestFit="1" customWidth="1"/>
    <col min="13" max="13" width="7.28515625" style="250" customWidth="1"/>
    <col min="14" max="17" width="9.140625" style="211"/>
    <col min="18" max="18" width="10.42578125" style="211" customWidth="1"/>
    <col min="19" max="19" width="12.140625" style="211" customWidth="1"/>
  </cols>
  <sheetData>
    <row r="1" spans="1:19" ht="15.75" thickBot="1" x14ac:dyDescent="0.3">
      <c r="B1" s="40" t="s">
        <v>235</v>
      </c>
      <c r="C1" s="208"/>
      <c r="D1" s="209"/>
      <c r="E1" s="210"/>
      <c r="F1" s="209"/>
      <c r="G1" s="210"/>
      <c r="H1" s="209"/>
      <c r="I1" s="210"/>
      <c r="J1" s="210"/>
      <c r="K1" s="210"/>
      <c r="L1" s="209"/>
      <c r="M1" s="210"/>
    </row>
    <row r="2" spans="1:19" ht="16.5" thickBot="1" x14ac:dyDescent="0.3">
      <c r="B2" s="640" t="s">
        <v>35</v>
      </c>
      <c r="C2" s="640" t="s">
        <v>119</v>
      </c>
      <c r="D2" s="643">
        <v>2016</v>
      </c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4"/>
    </row>
    <row r="3" spans="1:19" ht="48" thickBot="1" x14ac:dyDescent="0.3">
      <c r="A3" s="19"/>
      <c r="B3" s="641"/>
      <c r="C3" s="642"/>
      <c r="D3" s="36">
        <v>42552</v>
      </c>
      <c r="E3" s="36" t="s">
        <v>120</v>
      </c>
      <c r="F3" s="36">
        <v>38930</v>
      </c>
      <c r="G3" s="191" t="s">
        <v>120</v>
      </c>
      <c r="H3" s="35">
        <v>42614</v>
      </c>
      <c r="I3" s="36" t="s">
        <v>120</v>
      </c>
      <c r="J3" s="38" t="s">
        <v>262</v>
      </c>
      <c r="K3" s="39" t="s">
        <v>263</v>
      </c>
      <c r="L3" s="36">
        <v>42644</v>
      </c>
      <c r="M3" s="37" t="s">
        <v>120</v>
      </c>
      <c r="N3" s="36">
        <v>42675</v>
      </c>
      <c r="O3" s="37" t="s">
        <v>120</v>
      </c>
      <c r="P3" s="36">
        <v>42705</v>
      </c>
      <c r="Q3" s="37" t="s">
        <v>120</v>
      </c>
      <c r="R3" s="38" t="s">
        <v>142</v>
      </c>
      <c r="S3" s="39" t="s">
        <v>141</v>
      </c>
    </row>
    <row r="4" spans="1:19" ht="15" customHeight="1" thickTop="1" x14ac:dyDescent="0.25">
      <c r="A4" t="s">
        <v>265</v>
      </c>
      <c r="B4" s="186" t="s">
        <v>315</v>
      </c>
      <c r="C4" s="212" t="e">
        <f>'UBS Vila Dalva'!#REF!+'UBS Jardim Boa Vista'!#REF!+'UBS e NASF Jardim D´Abril'!#REF!+'UBS Jardim Jaqueline'!B15+'UBS E NASF Malta Cardoso'!#REF!+'UBS Real Parque'!B24+'UBS Sao Remo'!B23+'AMA_ UBS e NASF Paulo VI'!B19+' AMA e UBS Sao Jorge'!B23</f>
        <v>#REF!</v>
      </c>
      <c r="D4" s="214" t="e">
        <f>'UBS Vila Dalva'!#REF!+'UBS Jardim Boa Vista'!#REF!+'UBS e NASF Jardim D´Abril'!#REF!+'UBS Jardim Jaqueline'!C15+'UBS E NASF Malta Cardoso'!#REF!+'AMA_ UBS e NASF Paulo VI'!C19+'UBS Real Parque'!C24+' AMA e UBS Sao Jorge'!C23</f>
        <v>#REF!</v>
      </c>
      <c r="E4" s="213" t="e">
        <f t="shared" ref="E4:I18" si="0">D4-C4</f>
        <v>#REF!</v>
      </c>
      <c r="F4" s="214" t="e">
        <f>'UBS Vila Dalva'!#REF!+'UBS Jardim Boa Vista'!#REF!+'UBS e NASF Jardim D´Abril'!#REF!+'UBS Jardim Jaqueline'!E15+'UBS E NASF Malta Cardoso'!#REF!+'AMA_ UBS e NASF Paulo VI'!E19+'UBS Real Parque'!E24+' AMA e UBS Sao Jorge'!E23</f>
        <v>#REF!</v>
      </c>
      <c r="G4" s="215" t="e">
        <f t="shared" ref="G4" si="1">F4-C4</f>
        <v>#REF!</v>
      </c>
      <c r="H4" s="214" t="e">
        <f>'UBS Vila Dalva'!#REF!+'UBS Jardim Boa Vista'!#REF!+'UBS e NASF Jardim D´Abril'!#REF!+'UBS Jardim Jaqueline'!G15+'UBS E NASF Malta Cardoso'!#REF!+'AMA_ UBS e NASF Paulo VI'!G19+'UBS Real Parque'!G24+' AMA e UBS Sao Jorge'!G23</f>
        <v>#REF!</v>
      </c>
      <c r="I4" s="215" t="e">
        <f t="shared" ref="I4" si="2">H4-C4</f>
        <v>#REF!</v>
      </c>
      <c r="J4" s="216" t="e">
        <f>D4+F4+H4</f>
        <v>#REF!</v>
      </c>
      <c r="K4" s="217" t="e">
        <f>J4-(3*$C4)</f>
        <v>#REF!</v>
      </c>
      <c r="L4" s="214" t="e">
        <f>'UBS Vila Dalva'!#REF!+'UBS Jardim Boa Vista'!#REF!+'UBS e NASF Jardim D´Abril'!#REF!+'UBS Jardim Jaqueline'!K15+'UBS E NASF Malta Cardoso'!#REF!+'AMA_ UBS e NASF Paulo VI'!K19+'UBS Real Parque'!K24+' AMA e UBS Sao Jorge'!K23</f>
        <v>#REF!</v>
      </c>
      <c r="M4" s="218" t="e">
        <f t="shared" ref="M4:Q16" si="3">L4-C4</f>
        <v>#REF!</v>
      </c>
      <c r="N4" s="219" t="e">
        <f>'UBS Vila Dalva'!#REF!+'UBS Jardim Boa Vista'!#REF!+'UBS e NASF Jardim D´Abril'!#REF!+'UBS Jardim Jaqueline'!M15+'UBS E NASF Malta Cardoso'!#REF!+'AMA_ UBS e NASF Paulo VI'!M19+'UBS Real Parque'!M24+' AMA e UBS Sao Jorge'!M23</f>
        <v>#REF!</v>
      </c>
      <c r="O4" s="413" t="e">
        <f t="shared" ref="O4:O16" si="4">N4-C4</f>
        <v>#REF!</v>
      </c>
      <c r="P4" s="214" t="e">
        <f>'UBS Vila Dalva'!#REF!+'UBS Jardim Boa Vista'!#REF!+'UBS e NASF Jardim D´Abril'!#REF!+'UBS Jardim Jaqueline'!O15+'UBS E NASF Malta Cardoso'!#REF!+'AMA_ UBS e NASF Paulo VI'!O19+'UBS Real Parque'!O24+' AMA e UBS Sao Jorge'!O23</f>
        <v>#REF!</v>
      </c>
      <c r="Q4" s="215" t="e">
        <f>P4-$C4</f>
        <v>#REF!</v>
      </c>
      <c r="R4" s="216" t="e">
        <f>P4+L4+N4</f>
        <v>#REF!</v>
      </c>
      <c r="S4" s="220" t="e">
        <f>R4-(3*$C4)</f>
        <v>#REF!</v>
      </c>
    </row>
    <row r="5" spans="1:19" x14ac:dyDescent="0.25">
      <c r="A5" t="s">
        <v>265</v>
      </c>
      <c r="B5" s="187" t="s">
        <v>314</v>
      </c>
      <c r="C5" s="221" t="e">
        <f>'UBS Vila Dalva'!#REF!+'UBS Jardim Boa Vista'!#REF!+'UBS e NASF Jardim D´Abril'!#REF!+'UBS Jardim Jaqueline'!B16+'UBS E NASF Malta Cardoso'!#REF!+'UBS Real Parque'!B25+'UBS Sao Remo'!B24+'AMA_ UBS e NASF Paulo VI'!B20+' AMA e UBS Sao Jorge'!B24</f>
        <v>#REF!</v>
      </c>
      <c r="D5" s="223" t="e">
        <f>'UBS Vila Dalva'!#REF!+'UBS Jardim Boa Vista'!#REF!+'UBS e NASF Jardim D´Abril'!#REF!+'UBS Jardim Jaqueline'!C16+'UBS E NASF Malta Cardoso'!#REF!+'AMA_ UBS e NASF Paulo VI'!C20+'UBS Real Parque'!C25+' AMA e UBS Sao Jorge'!C24</f>
        <v>#REF!</v>
      </c>
      <c r="E5" s="222" t="e">
        <f t="shared" si="0"/>
        <v>#REF!</v>
      </c>
      <c r="F5" s="223" t="e">
        <f>'UBS Vila Dalva'!#REF!+'UBS Jardim Boa Vista'!#REF!+'UBS e NASF Jardim D´Abril'!#REF!+'UBS Jardim Jaqueline'!E16+'UBS E NASF Malta Cardoso'!#REF!+'AMA_ UBS e NASF Paulo VI'!E20+'UBS Real Parque'!E25+' AMA e UBS Sao Jorge'!E24</f>
        <v>#REF!</v>
      </c>
      <c r="G5" s="224" t="e">
        <f t="shared" si="0"/>
        <v>#REF!</v>
      </c>
      <c r="H5" s="223" t="e">
        <f>'UBS Vila Dalva'!#REF!+'UBS Jardim Boa Vista'!#REF!+'UBS e NASF Jardim D´Abril'!#REF!+'UBS Jardim Jaqueline'!G16+'UBS E NASF Malta Cardoso'!#REF!+'AMA_ UBS e NASF Paulo VI'!G20+'UBS Real Parque'!G25+' AMA e UBS Sao Jorge'!G24</f>
        <v>#REF!</v>
      </c>
      <c r="I5" s="215" t="e">
        <f t="shared" si="0"/>
        <v>#REF!</v>
      </c>
      <c r="J5" s="225" t="e">
        <f t="shared" ref="J5:J16" si="5">D5+F5+H5</f>
        <v>#REF!</v>
      </c>
      <c r="K5" s="226" t="e">
        <f t="shared" ref="K5:K16" si="6">J5-(3*$C5)</f>
        <v>#REF!</v>
      </c>
      <c r="L5" s="223" t="e">
        <f>'UBS Vila Dalva'!#REF!+'UBS Jardim Boa Vista'!#REF!+'UBS e NASF Jardim D´Abril'!#REF!+'UBS Jardim Jaqueline'!K16+'UBS E NASF Malta Cardoso'!#REF!+'AMA_ UBS e NASF Paulo VI'!K20+'UBS Real Parque'!K25+' AMA e UBS Sao Jorge'!K24</f>
        <v>#REF!</v>
      </c>
      <c r="M5" s="224" t="e">
        <f t="shared" si="3"/>
        <v>#REF!</v>
      </c>
      <c r="N5" s="223" t="e">
        <f>'UBS Vila Dalva'!#REF!+'UBS Jardim Boa Vista'!#REF!+'UBS e NASF Jardim D´Abril'!#REF!+'UBS Jardim Jaqueline'!M16+'UBS E NASF Malta Cardoso'!#REF!+'AMA_ UBS e NASF Paulo VI'!M20+'UBS Real Parque'!M25+' AMA e UBS Sao Jorge'!M24</f>
        <v>#REF!</v>
      </c>
      <c r="O5" s="414" t="e">
        <f t="shared" si="4"/>
        <v>#REF!</v>
      </c>
      <c r="P5" s="223" t="e">
        <f>'UBS Vila Dalva'!#REF!+'UBS Jardim Boa Vista'!#REF!+'UBS e NASF Jardim D´Abril'!#REF!+'UBS Jardim Jaqueline'!O16+'UBS E NASF Malta Cardoso'!#REF!+'AMA_ UBS e NASF Paulo VI'!O20+'UBS Real Parque'!O25+' AMA e UBS Sao Jorge'!O24</f>
        <v>#REF!</v>
      </c>
      <c r="Q5" s="215" t="e">
        <f t="shared" si="3"/>
        <v>#REF!</v>
      </c>
      <c r="R5" s="225" t="e">
        <f t="shared" ref="R5:R16" si="7">P5+L5+N5</f>
        <v>#REF!</v>
      </c>
      <c r="S5" s="227" t="e">
        <f t="shared" ref="S5:S17" si="8">R5-(3*$C5)</f>
        <v>#REF!</v>
      </c>
    </row>
    <row r="6" spans="1:19" x14ac:dyDescent="0.25">
      <c r="A6" t="s">
        <v>265</v>
      </c>
      <c r="B6" s="187" t="s">
        <v>313</v>
      </c>
      <c r="C6" s="221" t="e">
        <f>'UBS Vila Dalva'!#REF!+'UBS Jardim Boa Vista'!#REF!+'UBS e NASF Jardim D´Abril'!#REF!+'UBS Jardim Jaqueline'!B17+'UBS E NASF Malta Cardoso'!#REF!+'UBS Real Parque'!B26+'UBS Sao Remo'!B25+'AMA_ UBS e NASF Paulo VI'!B21+' AMA e UBS Sao Jorge'!B25</f>
        <v>#REF!</v>
      </c>
      <c r="D6" s="223" t="e">
        <f>'UBS Vila Dalva'!#REF!+'UBS Jardim Boa Vista'!#REF!+'UBS e NASF Jardim D´Abril'!#REF!+'UBS Jardim Jaqueline'!C17+'UBS E NASF Malta Cardoso'!#REF!+'AMA_ UBS e NASF Paulo VI'!C21+'UBS Real Parque'!C26+' AMA e UBS Sao Jorge'!C25</f>
        <v>#REF!</v>
      </c>
      <c r="E6" s="222" t="e">
        <f t="shared" si="0"/>
        <v>#REF!</v>
      </c>
      <c r="F6" s="223" t="e">
        <f>'UBS Vila Dalva'!#REF!+'UBS Jardim Boa Vista'!#REF!+'UBS e NASF Jardim D´Abril'!#REF!+'UBS Jardim Jaqueline'!E17+'UBS E NASF Malta Cardoso'!#REF!+'AMA_ UBS e NASF Paulo VI'!E21+'UBS Real Parque'!E26+' AMA e UBS Sao Jorge'!E25</f>
        <v>#REF!</v>
      </c>
      <c r="G6" s="224" t="e">
        <f t="shared" si="0"/>
        <v>#REF!</v>
      </c>
      <c r="H6" s="223" t="e">
        <f>'UBS Vila Dalva'!#REF!+'UBS Jardim Boa Vista'!#REF!+'UBS e NASF Jardim D´Abril'!#REF!+'UBS Jardim Jaqueline'!G17+'UBS E NASF Malta Cardoso'!#REF!+'AMA_ UBS e NASF Paulo VI'!G21+'UBS Real Parque'!G26+' AMA e UBS Sao Jorge'!G25</f>
        <v>#REF!</v>
      </c>
      <c r="I6" s="215" t="e">
        <f t="shared" si="0"/>
        <v>#REF!</v>
      </c>
      <c r="J6" s="225" t="e">
        <f t="shared" si="5"/>
        <v>#REF!</v>
      </c>
      <c r="K6" s="226" t="e">
        <f t="shared" si="6"/>
        <v>#REF!</v>
      </c>
      <c r="L6" s="223" t="e">
        <f>'UBS Vila Dalva'!#REF!+'UBS Jardim Boa Vista'!#REF!+'UBS e NASF Jardim D´Abril'!#REF!+'UBS Jardim Jaqueline'!K17+'UBS E NASF Malta Cardoso'!#REF!+'AMA_ UBS e NASF Paulo VI'!K21+'UBS Real Parque'!K26+' AMA e UBS Sao Jorge'!K25</f>
        <v>#REF!</v>
      </c>
      <c r="M6" s="224" t="e">
        <f t="shared" si="3"/>
        <v>#REF!</v>
      </c>
      <c r="N6" s="223" t="e">
        <f>'UBS Vila Dalva'!#REF!+'UBS Jardim Boa Vista'!#REF!+'UBS e NASF Jardim D´Abril'!#REF!+'UBS Jardim Jaqueline'!M17+'UBS E NASF Malta Cardoso'!#REF!+'AMA_ UBS e NASF Paulo VI'!M21+'UBS Real Parque'!M26+' AMA e UBS Sao Jorge'!M25</f>
        <v>#REF!</v>
      </c>
      <c r="O6" s="414" t="e">
        <f t="shared" si="4"/>
        <v>#REF!</v>
      </c>
      <c r="P6" s="223" t="e">
        <f>'UBS Vila Dalva'!#REF!+'UBS Jardim Boa Vista'!#REF!+'UBS e NASF Jardim D´Abril'!#REF!+'UBS Jardim Jaqueline'!O17+'UBS E NASF Malta Cardoso'!#REF!+'AMA_ UBS e NASF Paulo VI'!O21+'UBS Real Parque'!O26+' AMA e UBS Sao Jorge'!O25</f>
        <v>#REF!</v>
      </c>
      <c r="Q6" s="215" t="e">
        <f t="shared" si="3"/>
        <v>#REF!</v>
      </c>
      <c r="R6" s="225" t="e">
        <f t="shared" si="7"/>
        <v>#REF!</v>
      </c>
      <c r="S6" s="227" t="e">
        <f t="shared" si="8"/>
        <v>#REF!</v>
      </c>
    </row>
    <row r="7" spans="1:19" x14ac:dyDescent="0.25">
      <c r="A7" t="s">
        <v>265</v>
      </c>
      <c r="B7" s="187" t="s">
        <v>312</v>
      </c>
      <c r="C7" s="221" t="e">
        <f>'UBS Vila Dalva'!#REF!+'UBS Jardim Boa Vista'!#REF!+'UBS E NASF Malta Cardoso'!#REF!+' AMA e UBS Sao Jorge'!B26</f>
        <v>#REF!</v>
      </c>
      <c r="D7" s="223" t="e">
        <f>'UBS Vila Dalva'!#REF!+'UBS Jardim Boa Vista'!#REF!+'UBS e NASF Jardim D´Abril'!#REF!+'AMA_ UBS e NASF Paulo VI'!C25+' AMA e UBS Sao Jorge'!C26</f>
        <v>#REF!</v>
      </c>
      <c r="E7" s="222" t="e">
        <f t="shared" si="0"/>
        <v>#REF!</v>
      </c>
      <c r="F7" s="223" t="e">
        <f>'UBS Vila Dalva'!#REF!+'UBS Jardim Boa Vista'!#REF!+'UBS e NASF Jardim D´Abril'!#REF!+'AMA_ UBS e NASF Paulo VI'!E25+' AMA e UBS Sao Jorge'!E26</f>
        <v>#REF!</v>
      </c>
      <c r="G7" s="224" t="e">
        <f t="shared" si="0"/>
        <v>#REF!</v>
      </c>
      <c r="H7" s="223" t="e">
        <f>'UBS Vila Dalva'!#REF!+'UBS Jardim Boa Vista'!#REF!+'UBS e NASF Jardim D´Abril'!#REF!+'AMA_ UBS e NASF Paulo VI'!G25+' AMA e UBS Sao Jorge'!G26</f>
        <v>#REF!</v>
      </c>
      <c r="I7" s="215" t="e">
        <f t="shared" si="0"/>
        <v>#REF!</v>
      </c>
      <c r="J7" s="225" t="e">
        <f t="shared" si="5"/>
        <v>#REF!</v>
      </c>
      <c r="K7" s="226" t="e">
        <f t="shared" si="6"/>
        <v>#REF!</v>
      </c>
      <c r="L7" s="223" t="e">
        <f>'UBS Vila Dalva'!#REF!+'UBS Jardim Boa Vista'!#REF!+'UBS e NASF Jardim D´Abril'!#REF!+'AMA_ UBS e NASF Paulo VI'!K25+' AMA e UBS Sao Jorge'!K26</f>
        <v>#REF!</v>
      </c>
      <c r="M7" s="224" t="e">
        <f t="shared" si="3"/>
        <v>#REF!</v>
      </c>
      <c r="N7" s="223" t="e">
        <f>'UBS Vila Dalva'!#REF!+'UBS Jardim Boa Vista'!#REF!+'UBS e NASF Jardim D´Abril'!#REF!+'AMA_ UBS e NASF Paulo VI'!M25+' AMA e UBS Sao Jorge'!M26</f>
        <v>#REF!</v>
      </c>
      <c r="O7" s="414" t="e">
        <f t="shared" si="4"/>
        <v>#REF!</v>
      </c>
      <c r="P7" s="223" t="e">
        <f>'UBS Vila Dalva'!#REF!+'UBS Jardim Boa Vista'!#REF!+'UBS e NASF Jardim D´Abril'!#REF!+'AMA_ UBS e NASF Paulo VI'!O25+' AMA e UBS Sao Jorge'!O26</f>
        <v>#REF!</v>
      </c>
      <c r="Q7" s="215" t="e">
        <f t="shared" si="3"/>
        <v>#REF!</v>
      </c>
      <c r="R7" s="225" t="e">
        <f t="shared" si="7"/>
        <v>#REF!</v>
      </c>
      <c r="S7" s="227" t="e">
        <f t="shared" si="8"/>
        <v>#REF!</v>
      </c>
    </row>
    <row r="8" spans="1:19" x14ac:dyDescent="0.25">
      <c r="A8" t="s">
        <v>265</v>
      </c>
      <c r="B8" s="187" t="s">
        <v>311</v>
      </c>
      <c r="C8" s="221" t="e">
        <f>'UBS Jardim Boa Vista'!#REF!+'UBS E NASF Malta Cardoso'!#REF!+'AMA e UBS Vila Sonia'!B18+'UBS Real Parque'!B30+' AMA e UBS Sao Jorge'!B27</f>
        <v>#REF!</v>
      </c>
      <c r="D8" s="223" t="e">
        <f>'UBS Jardim Boa Vista'!#REF!+'UBS E NASF Malta Cardoso'!#REF!+'AMA e UBS Vila Sonia'!C18+'UBS Real Parque'!C30+' AMA e UBS Sao Jorge'!C27</f>
        <v>#REF!</v>
      </c>
      <c r="E8" s="222" t="e">
        <f t="shared" si="0"/>
        <v>#REF!</v>
      </c>
      <c r="F8" s="223" t="e">
        <f>'UBS Jardim Boa Vista'!#REF!+'UBS E NASF Malta Cardoso'!#REF!+'AMA e UBS Vila Sonia'!E18+'UBS Real Parque'!E30+' AMA e UBS Sao Jorge'!E27</f>
        <v>#REF!</v>
      </c>
      <c r="G8" s="224" t="e">
        <f t="shared" si="0"/>
        <v>#REF!</v>
      </c>
      <c r="H8" s="223" t="e">
        <f>'UBS Jardim Boa Vista'!#REF!+'UBS E NASF Malta Cardoso'!#REF!+'AMA e UBS Vila Sonia'!G18+'UBS Real Parque'!G30+' AMA e UBS Sao Jorge'!G27</f>
        <v>#REF!</v>
      </c>
      <c r="I8" s="215" t="e">
        <f t="shared" si="0"/>
        <v>#REF!</v>
      </c>
      <c r="J8" s="225" t="e">
        <f t="shared" si="5"/>
        <v>#REF!</v>
      </c>
      <c r="K8" s="226" t="e">
        <f t="shared" si="6"/>
        <v>#REF!</v>
      </c>
      <c r="L8" s="223" t="e">
        <f>'UBS Jardim Boa Vista'!#REF!+'UBS E NASF Malta Cardoso'!#REF!+'AMA e UBS Vila Sonia'!K18+'UBS Real Parque'!K30+' AMA e UBS Sao Jorge'!K27</f>
        <v>#REF!</v>
      </c>
      <c r="M8" s="224" t="e">
        <f t="shared" si="3"/>
        <v>#REF!</v>
      </c>
      <c r="N8" s="223" t="e">
        <f>'UBS Jardim Boa Vista'!#REF!+'UBS E NASF Malta Cardoso'!#REF!+'AMA e UBS Vila Sonia'!M18+'UBS Real Parque'!M30+' AMA e UBS Sao Jorge'!M27</f>
        <v>#REF!</v>
      </c>
      <c r="O8" s="414" t="e">
        <f t="shared" si="4"/>
        <v>#REF!</v>
      </c>
      <c r="P8" s="223" t="e">
        <f>'UBS Jardim Boa Vista'!#REF!+'UBS E NASF Malta Cardoso'!#REF!+'AMA e UBS Vila Sonia'!O18+'UBS Real Parque'!O30+' AMA e UBS Sao Jorge'!O27</f>
        <v>#REF!</v>
      </c>
      <c r="Q8" s="215" t="e">
        <f t="shared" si="3"/>
        <v>#REF!</v>
      </c>
      <c r="R8" s="225" t="e">
        <f t="shared" si="7"/>
        <v>#REF!</v>
      </c>
      <c r="S8" s="227" t="e">
        <f t="shared" si="8"/>
        <v>#REF!</v>
      </c>
    </row>
    <row r="9" spans="1:19" x14ac:dyDescent="0.25">
      <c r="A9" t="s">
        <v>265</v>
      </c>
      <c r="B9" s="187" t="s">
        <v>310</v>
      </c>
      <c r="C9" s="221" t="e">
        <f>'UBS Vila Dalva'!#REF!+'UBS E NASF Malta Cardoso'!#REF!+'UBS Real Parque'!B31+'UBS Sao Remo'!B26+'AMA_ UBS e NASF Paulo VI'!B22+' AMA e UBS Sao Jorge'!B28</f>
        <v>#REF!</v>
      </c>
      <c r="D9" s="223" t="e">
        <f>'UBS Jardim Boa Vista'!#REF!+'UBS E NASF Malta Cardoso'!#REF!+'AMA e UBS Vila Sonia'!C18+' AMA e UBS Sao Jorge'!C27</f>
        <v>#REF!</v>
      </c>
      <c r="E9" s="222" t="e">
        <f t="shared" si="0"/>
        <v>#REF!</v>
      </c>
      <c r="F9" s="223" t="e">
        <f>'UBS Jardim Boa Vista'!#REF!+'UBS E NASF Malta Cardoso'!#REF!+'AMA e UBS Vila Sonia'!E18+' AMA e UBS Sao Jorge'!E27</f>
        <v>#REF!</v>
      </c>
      <c r="G9" s="224" t="e">
        <f t="shared" si="0"/>
        <v>#REF!</v>
      </c>
      <c r="H9" s="223" t="e">
        <f>'UBS Jardim Boa Vista'!#REF!+'UBS E NASF Malta Cardoso'!#REF!+'AMA e UBS Vila Sonia'!G18+' AMA e UBS Sao Jorge'!G27</f>
        <v>#REF!</v>
      </c>
      <c r="I9" s="215" t="e">
        <f t="shared" si="0"/>
        <v>#REF!</v>
      </c>
      <c r="J9" s="225" t="e">
        <f t="shared" si="5"/>
        <v>#REF!</v>
      </c>
      <c r="K9" s="226" t="e">
        <f t="shared" si="6"/>
        <v>#REF!</v>
      </c>
      <c r="L9" s="223" t="e">
        <f>'UBS Jardim Boa Vista'!#REF!+'UBS E NASF Malta Cardoso'!#REF!+'AMA e UBS Vila Sonia'!K18+' AMA e UBS Sao Jorge'!K27</f>
        <v>#REF!</v>
      </c>
      <c r="M9" s="224" t="e">
        <f t="shared" si="3"/>
        <v>#REF!</v>
      </c>
      <c r="N9" s="223" t="e">
        <f>'UBS Jardim Boa Vista'!#REF!+'UBS E NASF Malta Cardoso'!#REF!+'AMA e UBS Vila Sonia'!M18+' AMA e UBS Sao Jorge'!M27</f>
        <v>#REF!</v>
      </c>
      <c r="O9" s="414" t="e">
        <f t="shared" si="4"/>
        <v>#REF!</v>
      </c>
      <c r="P9" s="223" t="e">
        <f>'UBS Jardim Boa Vista'!#REF!+'UBS E NASF Malta Cardoso'!#REF!+'AMA e UBS Vila Sonia'!O18+' AMA e UBS Sao Jorge'!O27</f>
        <v>#REF!</v>
      </c>
      <c r="Q9" s="215" t="e">
        <f t="shared" si="3"/>
        <v>#REF!</v>
      </c>
      <c r="R9" s="225" t="e">
        <f t="shared" si="7"/>
        <v>#REF!</v>
      </c>
      <c r="S9" s="227" t="e">
        <f t="shared" si="8"/>
        <v>#REF!</v>
      </c>
    </row>
    <row r="10" spans="1:19" x14ac:dyDescent="0.25">
      <c r="A10" t="s">
        <v>265</v>
      </c>
      <c r="B10" s="187" t="s">
        <v>309</v>
      </c>
      <c r="C10" s="221" t="e">
        <f>'UBS Vila Dalva'!#REF!+'UBS Jardim Boa Vista'!#REF!+'UBS E NASF Malta Cardoso'!#REF!+'UBS Real Parque'!B33+'UBS Sao Remo'!B28+'AMA e UBS Vila Sonia'!B21+'AMA_ UBS e NASF Paulo VI'!B35+' AMA e UBS Sao Jorge'!B40</f>
        <v>#REF!</v>
      </c>
      <c r="D10" s="223" t="e">
        <f>'UBS Vila Dalva'!#REF!+'UBS Jardim Boa Vista'!#REF!+'UBS E NASF Malta Cardoso'!#REF!+'AMA e UBS Vila Sonia'!C21+'AMA_ UBS e NASF Paulo VI'!C35+'UBS Real Parque'!C33+' AMA e UBS Sao Jorge'!C29</f>
        <v>#REF!</v>
      </c>
      <c r="E10" s="222" t="e">
        <f t="shared" si="0"/>
        <v>#REF!</v>
      </c>
      <c r="F10" s="223" t="e">
        <f>'UBS Vila Dalva'!#REF!+'UBS Jardim Boa Vista'!#REF!+'UBS E NASF Malta Cardoso'!#REF!+'AMA e UBS Vila Sonia'!E21+'AMA_ UBS e NASF Paulo VI'!E35+'UBS Real Parque'!E33+' AMA e UBS Sao Jorge'!E29</f>
        <v>#REF!</v>
      </c>
      <c r="G10" s="224" t="e">
        <f t="shared" si="0"/>
        <v>#REF!</v>
      </c>
      <c r="H10" s="223" t="e">
        <f>'UBS Vila Dalva'!#REF!+'UBS Jardim Boa Vista'!#REF!+'UBS E NASF Malta Cardoso'!#REF!+'AMA e UBS Vila Sonia'!G21+'AMA_ UBS e NASF Paulo VI'!G35+'UBS Real Parque'!G33+' AMA e UBS Sao Jorge'!G29</f>
        <v>#REF!</v>
      </c>
      <c r="I10" s="215" t="e">
        <f t="shared" si="0"/>
        <v>#REF!</v>
      </c>
      <c r="J10" s="225" t="e">
        <f t="shared" si="5"/>
        <v>#REF!</v>
      </c>
      <c r="K10" s="226" t="e">
        <f t="shared" si="6"/>
        <v>#REF!</v>
      </c>
      <c r="L10" s="223" t="e">
        <f>'UBS Vila Dalva'!#REF!+'UBS Jardim Boa Vista'!#REF!+'UBS E NASF Malta Cardoso'!#REF!+'AMA e UBS Vila Sonia'!K21+'AMA_ UBS e NASF Paulo VI'!K35+'UBS Real Parque'!K33+' AMA e UBS Sao Jorge'!K29</f>
        <v>#REF!</v>
      </c>
      <c r="M10" s="224" t="e">
        <f t="shared" si="3"/>
        <v>#REF!</v>
      </c>
      <c r="N10" s="223" t="e">
        <f>'UBS Vila Dalva'!#REF!+'UBS Jardim Boa Vista'!#REF!+'UBS E NASF Malta Cardoso'!#REF!+'AMA e UBS Vila Sonia'!M21+'AMA_ UBS e NASF Paulo VI'!M35+'UBS Real Parque'!M33+' AMA e UBS Sao Jorge'!M29</f>
        <v>#REF!</v>
      </c>
      <c r="O10" s="414" t="e">
        <f t="shared" si="4"/>
        <v>#REF!</v>
      </c>
      <c r="P10" s="223" t="e">
        <f>'UBS Vila Dalva'!#REF!+'UBS Jardim Boa Vista'!#REF!+'UBS E NASF Malta Cardoso'!#REF!+'AMA e UBS Vila Sonia'!O21+'AMA_ UBS e NASF Paulo VI'!O35+'UBS Real Parque'!O33+' AMA e UBS Sao Jorge'!O29</f>
        <v>#REF!</v>
      </c>
      <c r="Q10" s="215" t="e">
        <f t="shared" si="3"/>
        <v>#REF!</v>
      </c>
      <c r="R10" s="225" t="e">
        <f t="shared" si="7"/>
        <v>#REF!</v>
      </c>
      <c r="S10" s="227" t="e">
        <f t="shared" si="8"/>
        <v>#REF!</v>
      </c>
    </row>
    <row r="11" spans="1:19" x14ac:dyDescent="0.25">
      <c r="A11" t="s">
        <v>265</v>
      </c>
      <c r="B11" s="187" t="s">
        <v>308</v>
      </c>
      <c r="C11" s="221" t="e">
        <f>'UBS Vila Dalva'!#REF!+'UBS Jardim Boa Vista'!#REF!+'UBS Real Parque'!B34+'UBS Sao Remo'!B29+'AMA e UBS Vila Sonia'!B22+' AMA e UBS Sao Jorge'!B31</f>
        <v>#REF!</v>
      </c>
      <c r="D11" s="223" t="e">
        <f>'UBS Vila Dalva'!#REF!+'UBS Jardim Boa Vista'!#REF!+'UBS e NASF Jardim D´Abril'!#REF!+'UBS E NASF Malta Cardoso'!#REF!+'AMA e UBS Vila Sonia'!C22+'AMA_ UBS e NASF Paulo VI'!C36+'UBS Real Parque'!C34</f>
        <v>#REF!</v>
      </c>
      <c r="E11" s="222" t="e">
        <f t="shared" si="0"/>
        <v>#REF!</v>
      </c>
      <c r="F11" s="223" t="e">
        <f>'UBS Vila Dalva'!#REF!+'UBS Jardim Boa Vista'!#REF!+'UBS e NASF Jardim D´Abril'!#REF!+'UBS E NASF Malta Cardoso'!#REF!+'AMA e UBS Vila Sonia'!E22+'AMA_ UBS e NASF Paulo VI'!E36+'UBS Real Parque'!E34</f>
        <v>#REF!</v>
      </c>
      <c r="G11" s="224" t="e">
        <f t="shared" si="0"/>
        <v>#REF!</v>
      </c>
      <c r="H11" s="223" t="e">
        <f>'UBS Vila Dalva'!#REF!+'UBS Jardim Boa Vista'!#REF!+'UBS e NASF Jardim D´Abril'!#REF!+'UBS E NASF Malta Cardoso'!#REF!+'AMA e UBS Vila Sonia'!G22+'AMA_ UBS e NASF Paulo VI'!G36+'UBS Real Parque'!G34</f>
        <v>#REF!</v>
      </c>
      <c r="I11" s="215" t="e">
        <f t="shared" si="0"/>
        <v>#REF!</v>
      </c>
      <c r="J11" s="225" t="e">
        <f t="shared" si="5"/>
        <v>#REF!</v>
      </c>
      <c r="K11" s="226" t="e">
        <f t="shared" si="6"/>
        <v>#REF!</v>
      </c>
      <c r="L11" s="223" t="e">
        <f>'UBS Vila Dalva'!#REF!+'UBS Jardim Boa Vista'!#REF!+'UBS e NASF Jardim D´Abril'!#REF!+'UBS E NASF Malta Cardoso'!#REF!+'AMA e UBS Vila Sonia'!K22+'AMA_ UBS e NASF Paulo VI'!K36+'UBS Real Parque'!K34</f>
        <v>#REF!</v>
      </c>
      <c r="M11" s="224" t="e">
        <f t="shared" si="3"/>
        <v>#REF!</v>
      </c>
      <c r="N11" s="223" t="e">
        <f>'UBS Vila Dalva'!#REF!+'UBS Jardim Boa Vista'!#REF!+'UBS e NASF Jardim D´Abril'!#REF!+'UBS E NASF Malta Cardoso'!#REF!+'AMA e UBS Vila Sonia'!M22+'AMA_ UBS e NASF Paulo VI'!M36+'UBS Real Parque'!M34</f>
        <v>#REF!</v>
      </c>
      <c r="O11" s="414" t="e">
        <f t="shared" si="4"/>
        <v>#REF!</v>
      </c>
      <c r="P11" s="223" t="e">
        <f>'UBS Vila Dalva'!#REF!+'UBS Jardim Boa Vista'!#REF!+'UBS e NASF Jardim D´Abril'!#REF!+'UBS E NASF Malta Cardoso'!#REF!+'AMA e UBS Vila Sonia'!O22+'AMA_ UBS e NASF Paulo VI'!O36+'UBS Real Parque'!O34</f>
        <v>#REF!</v>
      </c>
      <c r="Q11" s="215" t="e">
        <f t="shared" si="3"/>
        <v>#REF!</v>
      </c>
      <c r="R11" s="225" t="e">
        <f t="shared" si="7"/>
        <v>#REF!</v>
      </c>
      <c r="S11" s="227" t="e">
        <f t="shared" si="8"/>
        <v>#REF!</v>
      </c>
    </row>
    <row r="12" spans="1:19" x14ac:dyDescent="0.25">
      <c r="A12" t="s">
        <v>265</v>
      </c>
      <c r="B12" s="187" t="s">
        <v>307</v>
      </c>
      <c r="C12" s="221" t="e">
        <f>'UBS E NASF Malta Cardoso'!#REF!+'UBS Real Parque'!B32+'UBS Sao Remo'!B27+'AMA e UBS Vila Sonia'!B20</f>
        <v>#REF!</v>
      </c>
      <c r="D12" s="223" t="e">
        <f>'UBS E NASF Malta Cardoso'!#REF!+'AMA e UBS Vila Sonia'!C20+'UBS Real Parque'!C32+' AMA e UBS Sao Jorge'!C30</f>
        <v>#REF!</v>
      </c>
      <c r="E12" s="222" t="e">
        <f t="shared" si="0"/>
        <v>#REF!</v>
      </c>
      <c r="F12" s="223" t="e">
        <f>'UBS E NASF Malta Cardoso'!#REF!+'AMA e UBS Vila Sonia'!E20+'UBS Real Parque'!E32+' AMA e UBS Sao Jorge'!E30</f>
        <v>#REF!</v>
      </c>
      <c r="G12" s="224" t="e">
        <f t="shared" si="0"/>
        <v>#REF!</v>
      </c>
      <c r="H12" s="223" t="e">
        <f>'UBS E NASF Malta Cardoso'!#REF!+'AMA e UBS Vila Sonia'!G20+'UBS Real Parque'!G32+' AMA e UBS Sao Jorge'!G30</f>
        <v>#REF!</v>
      </c>
      <c r="I12" s="215" t="e">
        <f t="shared" si="0"/>
        <v>#REF!</v>
      </c>
      <c r="J12" s="225" t="e">
        <f t="shared" si="5"/>
        <v>#REF!</v>
      </c>
      <c r="K12" s="226" t="e">
        <f t="shared" si="6"/>
        <v>#REF!</v>
      </c>
      <c r="L12" s="223" t="e">
        <f>'UBS E NASF Malta Cardoso'!#REF!+'AMA e UBS Vila Sonia'!K20+'UBS Real Parque'!K32+' AMA e UBS Sao Jorge'!K30</f>
        <v>#REF!</v>
      </c>
      <c r="M12" s="224" t="e">
        <f t="shared" si="3"/>
        <v>#REF!</v>
      </c>
      <c r="N12" s="223" t="e">
        <f>'UBS E NASF Malta Cardoso'!#REF!+'AMA e UBS Vila Sonia'!M20+'UBS Real Parque'!M32+' AMA e UBS Sao Jorge'!M30</f>
        <v>#REF!</v>
      </c>
      <c r="O12" s="414" t="e">
        <f t="shared" si="4"/>
        <v>#REF!</v>
      </c>
      <c r="P12" s="223" t="e">
        <f>'UBS E NASF Malta Cardoso'!#REF!+'AMA e UBS Vila Sonia'!O20+'UBS Real Parque'!O32+' AMA e UBS Sao Jorge'!O30</f>
        <v>#REF!</v>
      </c>
      <c r="Q12" s="215" t="e">
        <f t="shared" si="3"/>
        <v>#REF!</v>
      </c>
      <c r="R12" s="225" t="e">
        <f t="shared" si="7"/>
        <v>#REF!</v>
      </c>
      <c r="S12" s="227" t="e">
        <f t="shared" si="8"/>
        <v>#REF!</v>
      </c>
    </row>
    <row r="13" spans="1:19" x14ac:dyDescent="0.25">
      <c r="A13" t="s">
        <v>265</v>
      </c>
      <c r="B13" s="187" t="s">
        <v>306</v>
      </c>
      <c r="C13" s="221" t="e">
        <f>'UBS Vila Dalva'!#REF!+'UBS Jardim Boa Vista'!#REF!+'UBS E NASF Malta Cardoso'!#REF!+'UBS Real Parque'!B35+'UBS Sao Remo'!B32+'AMA e UBS Vila Sonia'!B23+'AMA_ UBS e NASF Paulo VI'!B27+' AMA e UBS Sao Jorge'!B33</f>
        <v>#REF!</v>
      </c>
      <c r="D13" s="223" t="e">
        <f>'UBS Vila Dalva'!#REF!+'UBS Jardim Boa Vista'!#REF!+'UBS E NASF Malta Cardoso'!#REF!+'AMA e UBS Vila Sonia'!C23+'UBS Real Parque'!C35</f>
        <v>#REF!</v>
      </c>
      <c r="E13" s="222" t="e">
        <f t="shared" si="0"/>
        <v>#REF!</v>
      </c>
      <c r="F13" s="223" t="e">
        <f>'UBS Vila Dalva'!#REF!+'UBS Jardim Boa Vista'!#REF!+'UBS E NASF Malta Cardoso'!#REF!+'AMA e UBS Vila Sonia'!E23+'UBS Real Parque'!E35</f>
        <v>#REF!</v>
      </c>
      <c r="G13" s="224" t="e">
        <f t="shared" si="0"/>
        <v>#REF!</v>
      </c>
      <c r="H13" s="223" t="e">
        <f>'UBS Vila Dalva'!#REF!+'UBS Jardim Boa Vista'!#REF!+'UBS E NASF Malta Cardoso'!#REF!+'AMA e UBS Vila Sonia'!G23+'UBS Real Parque'!G35</f>
        <v>#REF!</v>
      </c>
      <c r="I13" s="215" t="e">
        <f t="shared" si="0"/>
        <v>#REF!</v>
      </c>
      <c r="J13" s="225" t="e">
        <f t="shared" si="5"/>
        <v>#REF!</v>
      </c>
      <c r="K13" s="226" t="e">
        <f t="shared" si="6"/>
        <v>#REF!</v>
      </c>
      <c r="L13" s="223" t="e">
        <f>'UBS Vila Dalva'!#REF!+'UBS Jardim Boa Vista'!#REF!+'UBS E NASF Malta Cardoso'!#REF!+'AMA e UBS Vila Sonia'!K23+'UBS Real Parque'!K35</f>
        <v>#REF!</v>
      </c>
      <c r="M13" s="224" t="e">
        <f t="shared" si="3"/>
        <v>#REF!</v>
      </c>
      <c r="N13" s="223" t="e">
        <f>'UBS Vila Dalva'!#REF!+'UBS Jardim Boa Vista'!#REF!+'UBS E NASF Malta Cardoso'!#REF!+'AMA e UBS Vila Sonia'!M23+'UBS Real Parque'!M35</f>
        <v>#REF!</v>
      </c>
      <c r="O13" s="414" t="e">
        <f t="shared" si="4"/>
        <v>#REF!</v>
      </c>
      <c r="P13" s="223" t="e">
        <f>'UBS Vila Dalva'!#REF!+'UBS Jardim Boa Vista'!#REF!+'UBS E NASF Malta Cardoso'!#REF!+'AMA e UBS Vila Sonia'!O23+'UBS Real Parque'!O35</f>
        <v>#REF!</v>
      </c>
      <c r="Q13" s="215" t="e">
        <f t="shared" si="3"/>
        <v>#REF!</v>
      </c>
      <c r="R13" s="225" t="e">
        <f t="shared" si="7"/>
        <v>#REF!</v>
      </c>
      <c r="S13" s="227" t="e">
        <f t="shared" si="8"/>
        <v>#REF!</v>
      </c>
    </row>
    <row r="14" spans="1:19" x14ac:dyDescent="0.25">
      <c r="A14" t="s">
        <v>265</v>
      </c>
      <c r="B14" s="187" t="s">
        <v>305</v>
      </c>
      <c r="C14" s="221" t="e">
        <f>'UBS Vila Dalva'!#REF!+'UBS Jardim Boa Vista'!#REF!+'UBS E NASF Malta Cardoso'!#REF!+'UBS Real Parque'!B36+'UBS Sao Remo'!B33+'AMA e UBS Vila Sonia'!B24+'AMA_ UBS e NASF Paulo VI'!B26+' AMA e UBS Sao Jorge'!B32</f>
        <v>#REF!</v>
      </c>
      <c r="D14" s="223">
        <v>0</v>
      </c>
      <c r="E14" s="222" t="e">
        <f t="shared" si="0"/>
        <v>#REF!</v>
      </c>
      <c r="F14" s="223">
        <v>0</v>
      </c>
      <c r="G14" s="224" t="e">
        <f t="shared" si="0"/>
        <v>#REF!</v>
      </c>
      <c r="H14" s="223">
        <v>0</v>
      </c>
      <c r="I14" s="215" t="e">
        <f t="shared" si="0"/>
        <v>#REF!</v>
      </c>
      <c r="J14" s="225">
        <f t="shared" si="5"/>
        <v>0</v>
      </c>
      <c r="K14" s="226" t="e">
        <f t="shared" si="6"/>
        <v>#REF!</v>
      </c>
      <c r="L14" s="223">
        <v>0</v>
      </c>
      <c r="M14" s="224" t="e">
        <f t="shared" si="3"/>
        <v>#REF!</v>
      </c>
      <c r="N14" s="223">
        <v>0</v>
      </c>
      <c r="O14" s="414" t="e">
        <f t="shared" si="4"/>
        <v>#REF!</v>
      </c>
      <c r="P14" s="223">
        <v>0</v>
      </c>
      <c r="Q14" s="215" t="e">
        <f t="shared" si="3"/>
        <v>#REF!</v>
      </c>
      <c r="R14" s="225">
        <f t="shared" si="7"/>
        <v>0</v>
      </c>
      <c r="S14" s="227" t="e">
        <f t="shared" si="8"/>
        <v>#REF!</v>
      </c>
    </row>
    <row r="15" spans="1:19" x14ac:dyDescent="0.25">
      <c r="A15" t="s">
        <v>265</v>
      </c>
      <c r="B15" s="187" t="s">
        <v>304</v>
      </c>
      <c r="C15" s="221" t="e">
        <f>'UBS Vila Dalva'!#REF!+'UBS Sao Remo'!B34+'AMA e UBS Vila Sonia'!B25</f>
        <v>#REF!</v>
      </c>
      <c r="D15" s="223" t="e">
        <f>'UBS Vila Dalva'!#REF!+'AMA e UBS Vila Sonia'!C25</f>
        <v>#REF!</v>
      </c>
      <c r="E15" s="222" t="e">
        <f t="shared" si="0"/>
        <v>#REF!</v>
      </c>
      <c r="F15" s="223" t="e">
        <f>'UBS Vila Dalva'!#REF!+'AMA e UBS Vila Sonia'!E25</f>
        <v>#REF!</v>
      </c>
      <c r="G15" s="224" t="e">
        <f t="shared" si="0"/>
        <v>#REF!</v>
      </c>
      <c r="H15" s="223" t="e">
        <f>'UBS Vila Dalva'!#REF!+'AMA e UBS Vila Sonia'!G25</f>
        <v>#REF!</v>
      </c>
      <c r="I15" s="215" t="e">
        <f t="shared" si="0"/>
        <v>#REF!</v>
      </c>
      <c r="J15" s="225" t="e">
        <f t="shared" si="5"/>
        <v>#REF!</v>
      </c>
      <c r="K15" s="226" t="e">
        <f t="shared" si="6"/>
        <v>#REF!</v>
      </c>
      <c r="L15" s="223" t="e">
        <f>'UBS Vila Dalva'!#REF!+'AMA e UBS Vila Sonia'!K25</f>
        <v>#REF!</v>
      </c>
      <c r="M15" s="224" t="e">
        <f t="shared" si="3"/>
        <v>#REF!</v>
      </c>
      <c r="N15" s="223" t="e">
        <f>'UBS Vila Dalva'!#REF!+'AMA e UBS Vila Sonia'!M25</f>
        <v>#REF!</v>
      </c>
      <c r="O15" s="414" t="e">
        <f t="shared" si="4"/>
        <v>#REF!</v>
      </c>
      <c r="P15" s="223" t="e">
        <f>'UBS Vila Dalva'!#REF!+'AMA e UBS Vila Sonia'!O25</f>
        <v>#REF!</v>
      </c>
      <c r="Q15" s="215" t="e">
        <f t="shared" si="3"/>
        <v>#REF!</v>
      </c>
      <c r="R15" s="225" t="e">
        <f t="shared" si="7"/>
        <v>#REF!</v>
      </c>
      <c r="S15" s="227" t="e">
        <f t="shared" si="8"/>
        <v>#REF!</v>
      </c>
    </row>
    <row r="16" spans="1:19" ht="15.75" thickBot="1" x14ac:dyDescent="0.3">
      <c r="A16" t="s">
        <v>265</v>
      </c>
      <c r="B16" s="188" t="s">
        <v>303</v>
      </c>
      <c r="C16" s="228" t="e">
        <f>'UBS Jardim Boa Vista'!#REF!+'UBS Real Parque'!B37+'UBS Sao Remo'!B35+'AMA e UBS Vila Sonia'!B27+'AMA_ UBS e NASF Paulo VI'!B37</f>
        <v>#REF!</v>
      </c>
      <c r="D16" s="230">
        <v>0</v>
      </c>
      <c r="E16" s="229" t="e">
        <f t="shared" si="0"/>
        <v>#REF!</v>
      </c>
      <c r="F16" s="230">
        <v>0</v>
      </c>
      <c r="G16" s="231" t="e">
        <f t="shared" si="0"/>
        <v>#REF!</v>
      </c>
      <c r="H16" s="230">
        <v>0</v>
      </c>
      <c r="I16" s="231" t="e">
        <f t="shared" si="0"/>
        <v>#REF!</v>
      </c>
      <c r="J16" s="232">
        <f t="shared" si="5"/>
        <v>0</v>
      </c>
      <c r="K16" s="233" t="e">
        <f t="shared" si="6"/>
        <v>#REF!</v>
      </c>
      <c r="L16" s="230">
        <v>0</v>
      </c>
      <c r="M16" s="231" t="e">
        <f t="shared" si="3"/>
        <v>#REF!</v>
      </c>
      <c r="N16" s="230">
        <v>0</v>
      </c>
      <c r="O16" s="415" t="e">
        <f t="shared" si="4"/>
        <v>#REF!</v>
      </c>
      <c r="P16" s="230">
        <v>0</v>
      </c>
      <c r="Q16" s="231" t="e">
        <f t="shared" si="3"/>
        <v>#REF!</v>
      </c>
      <c r="R16" s="232">
        <f t="shared" si="7"/>
        <v>0</v>
      </c>
      <c r="S16" s="234" t="e">
        <f t="shared" si="8"/>
        <v>#REF!</v>
      </c>
    </row>
    <row r="17" spans="1:19" ht="15.75" thickBot="1" x14ac:dyDescent="0.3">
      <c r="B17" s="411" t="s">
        <v>124</v>
      </c>
      <c r="C17" s="235" t="e">
        <f>SUM(C4:C16)</f>
        <v>#REF!</v>
      </c>
      <c r="D17" s="235" t="e">
        <f>SUM(D4:D16)</f>
        <v>#REF!</v>
      </c>
      <c r="E17" s="236" t="e">
        <f t="shared" si="0"/>
        <v>#REF!</v>
      </c>
      <c r="F17" s="235" t="e">
        <f>SUM(F4:F16)</f>
        <v>#REF!</v>
      </c>
      <c r="G17" s="238" t="e">
        <f>SUM(G7:G16)</f>
        <v>#REF!</v>
      </c>
      <c r="H17" s="237" t="e">
        <f>SUM(H4:H16)</f>
        <v>#REF!</v>
      </c>
      <c r="I17" s="238" t="e">
        <f>SUM(I4:I16)</f>
        <v>#REF!</v>
      </c>
      <c r="J17" s="239" t="e">
        <f>SUM(J4:J16)</f>
        <v>#REF!</v>
      </c>
      <c r="K17" s="240" t="e">
        <f>SUM(K7:K16)</f>
        <v>#REF!</v>
      </c>
      <c r="L17" s="237" t="e">
        <f t="shared" ref="L17:R17" si="9">SUM(L4:L16)</f>
        <v>#REF!</v>
      </c>
      <c r="M17" s="238" t="e">
        <f t="shared" si="9"/>
        <v>#REF!</v>
      </c>
      <c r="N17" s="237" t="e">
        <f t="shared" si="9"/>
        <v>#REF!</v>
      </c>
      <c r="O17" s="416" t="e">
        <f t="shared" si="9"/>
        <v>#REF!</v>
      </c>
      <c r="P17" s="237" t="e">
        <f t="shared" si="9"/>
        <v>#REF!</v>
      </c>
      <c r="Q17" s="238" t="e">
        <f t="shared" si="9"/>
        <v>#REF!</v>
      </c>
      <c r="R17" s="239" t="e">
        <f t="shared" si="9"/>
        <v>#REF!</v>
      </c>
      <c r="S17" s="241" t="e">
        <f t="shared" si="8"/>
        <v>#REF!</v>
      </c>
    </row>
    <row r="18" spans="1:19" ht="15.75" thickTop="1" x14ac:dyDescent="0.25">
      <c r="A18" t="s">
        <v>117</v>
      </c>
      <c r="B18" s="34" t="s">
        <v>316</v>
      </c>
      <c r="C18" s="212" t="e">
        <f>'UBS E NASF Malta Cardoso'!#REF!</f>
        <v>#REF!</v>
      </c>
      <c r="D18" s="214"/>
      <c r="E18" s="213" t="e">
        <f t="shared" si="0"/>
        <v>#REF!</v>
      </c>
      <c r="F18" s="214"/>
      <c r="G18" s="215"/>
      <c r="H18" s="214"/>
      <c r="I18" s="215"/>
      <c r="J18" s="216"/>
      <c r="K18" s="217"/>
      <c r="L18" s="214"/>
      <c r="M18" s="218"/>
      <c r="N18" s="219"/>
      <c r="O18" s="215"/>
      <c r="P18" s="214"/>
      <c r="Q18" s="215"/>
      <c r="R18" s="216"/>
      <c r="S18" s="220"/>
    </row>
    <row r="19" spans="1:19" x14ac:dyDescent="0.25">
      <c r="A19" t="s">
        <v>117</v>
      </c>
      <c r="B19" s="189" t="s">
        <v>317</v>
      </c>
      <c r="C19" s="221">
        <f>'AMA_ UBS e NASF Paulo VI'!B32</f>
        <v>2</v>
      </c>
      <c r="D19" s="223"/>
      <c r="E19" s="222">
        <f t="shared" ref="E19:E47" si="10">D19-C19</f>
        <v>-2</v>
      </c>
      <c r="F19" s="223"/>
      <c r="G19" s="224"/>
      <c r="H19" s="223"/>
      <c r="I19" s="215"/>
      <c r="J19" s="225"/>
      <c r="K19" s="226"/>
      <c r="L19" s="223"/>
      <c r="M19" s="224"/>
      <c r="N19" s="223"/>
      <c r="O19" s="224"/>
      <c r="P19" s="223"/>
      <c r="Q19" s="215"/>
      <c r="R19" s="225"/>
      <c r="S19" s="227"/>
    </row>
    <row r="20" spans="1:19" x14ac:dyDescent="0.25">
      <c r="A20" t="s">
        <v>117</v>
      </c>
      <c r="B20" s="189" t="s">
        <v>318</v>
      </c>
      <c r="C20" s="221">
        <f>'AMA_ UBS e NASF Paulo VI'!B36</f>
        <v>1</v>
      </c>
      <c r="D20" s="223"/>
      <c r="E20" s="222">
        <f t="shared" si="10"/>
        <v>-1</v>
      </c>
      <c r="F20" s="223"/>
      <c r="G20" s="224"/>
      <c r="H20" s="223"/>
      <c r="I20" s="215"/>
      <c r="J20" s="225"/>
      <c r="K20" s="226"/>
      <c r="L20" s="223"/>
      <c r="M20" s="224"/>
      <c r="N20" s="223"/>
      <c r="O20" s="224"/>
      <c r="P20" s="223"/>
      <c r="Q20" s="215"/>
      <c r="R20" s="225"/>
      <c r="S20" s="227"/>
    </row>
    <row r="21" spans="1:19" x14ac:dyDescent="0.25">
      <c r="A21" t="s">
        <v>117</v>
      </c>
      <c r="B21" s="189" t="s">
        <v>319</v>
      </c>
      <c r="C21" s="221" t="e">
        <f>'UBS e NASF Jardim D´Abril'!#REF!+'UBS E NASF Malta Cardoso'!#REF!</f>
        <v>#REF!</v>
      </c>
      <c r="D21" s="223"/>
      <c r="E21" s="222" t="e">
        <f t="shared" si="10"/>
        <v>#REF!</v>
      </c>
      <c r="F21" s="223"/>
      <c r="G21" s="224"/>
      <c r="H21" s="223"/>
      <c r="I21" s="215"/>
      <c r="J21" s="225"/>
      <c r="K21" s="226"/>
      <c r="L21" s="223"/>
      <c r="M21" s="224"/>
      <c r="N21" s="223"/>
      <c r="O21" s="224"/>
      <c r="P21" s="223"/>
      <c r="Q21" s="215"/>
      <c r="R21" s="225"/>
      <c r="S21" s="227"/>
    </row>
    <row r="22" spans="1:19" x14ac:dyDescent="0.25">
      <c r="A22" t="s">
        <v>117</v>
      </c>
      <c r="B22" s="189" t="s">
        <v>320</v>
      </c>
      <c r="C22" s="221" t="e">
        <f>'UBS e NASF Jardim D´Abril'!#REF!+'UBS E NASF Malta Cardoso'!#REF!+'AMA_ UBS e NASF Paulo VI'!B37</f>
        <v>#REF!</v>
      </c>
      <c r="D22" s="223"/>
      <c r="E22" s="222" t="e">
        <f t="shared" si="10"/>
        <v>#REF!</v>
      </c>
      <c r="F22" s="223"/>
      <c r="G22" s="224"/>
      <c r="H22" s="223"/>
      <c r="I22" s="215"/>
      <c r="J22" s="225"/>
      <c r="K22" s="226"/>
      <c r="L22" s="223"/>
      <c r="M22" s="224"/>
      <c r="N22" s="223"/>
      <c r="O22" s="224"/>
      <c r="P22" s="223"/>
      <c r="Q22" s="215"/>
      <c r="R22" s="225"/>
      <c r="S22" s="227"/>
    </row>
    <row r="23" spans="1:19" x14ac:dyDescent="0.25">
      <c r="A23" t="s">
        <v>117</v>
      </c>
      <c r="B23" s="189" t="s">
        <v>321</v>
      </c>
      <c r="C23" s="221" t="e">
        <f>'UBS e NASF Jardim D´Abril'!#REF!+'UBS E NASF Malta Cardoso'!#REF!+'AMA_ UBS e NASF Paulo VI'!B38</f>
        <v>#REF!</v>
      </c>
      <c r="D23" s="223"/>
      <c r="E23" s="222" t="e">
        <f t="shared" si="10"/>
        <v>#REF!</v>
      </c>
      <c r="F23" s="223"/>
      <c r="G23" s="224"/>
      <c r="H23" s="223"/>
      <c r="I23" s="215"/>
      <c r="J23" s="225"/>
      <c r="K23" s="226"/>
      <c r="L23" s="223"/>
      <c r="M23" s="224"/>
      <c r="N23" s="223"/>
      <c r="O23" s="224"/>
      <c r="P23" s="223"/>
      <c r="Q23" s="215"/>
      <c r="R23" s="225"/>
      <c r="S23" s="227"/>
    </row>
    <row r="24" spans="1:19" ht="15.75" thickBot="1" x14ac:dyDescent="0.3">
      <c r="A24" t="s">
        <v>117</v>
      </c>
      <c r="B24" s="190" t="s">
        <v>322</v>
      </c>
      <c r="C24" s="228" t="e">
        <f>'UBS E NASF Malta Cardoso'!#REF!+'AMA_ UBS e NASF Paulo VI'!B33</f>
        <v>#REF!</v>
      </c>
      <c r="D24" s="230"/>
      <c r="E24" s="229" t="e">
        <f t="shared" si="10"/>
        <v>#REF!</v>
      </c>
      <c r="F24" s="230"/>
      <c r="G24" s="231"/>
      <c r="H24" s="230"/>
      <c r="I24" s="231"/>
      <c r="J24" s="232"/>
      <c r="K24" s="233"/>
      <c r="L24" s="230"/>
      <c r="M24" s="224"/>
      <c r="N24" s="230"/>
      <c r="O24" s="231"/>
      <c r="P24" s="230"/>
      <c r="Q24" s="231"/>
      <c r="R24" s="232"/>
      <c r="S24" s="234"/>
    </row>
    <row r="25" spans="1:19" ht="15.75" thickBot="1" x14ac:dyDescent="0.3">
      <c r="B25" s="411" t="s">
        <v>123</v>
      </c>
      <c r="C25" s="235" t="e">
        <f>SUM(C18:C24)</f>
        <v>#REF!</v>
      </c>
      <c r="D25" s="237"/>
      <c r="E25" s="236" t="e">
        <f t="shared" si="10"/>
        <v>#REF!</v>
      </c>
      <c r="F25" s="237"/>
      <c r="G25" s="238"/>
      <c r="H25" s="237"/>
      <c r="I25" s="238"/>
      <c r="J25" s="239"/>
      <c r="K25" s="240"/>
      <c r="L25" s="237"/>
      <c r="M25" s="242"/>
      <c r="N25" s="237"/>
      <c r="O25" s="238"/>
      <c r="P25" s="237"/>
      <c r="Q25" s="238"/>
      <c r="R25" s="239"/>
      <c r="S25" s="241"/>
    </row>
    <row r="26" spans="1:19" ht="15.75" thickTop="1" x14ac:dyDescent="0.25">
      <c r="A26" t="s">
        <v>118</v>
      </c>
      <c r="B26" s="34" t="s">
        <v>311</v>
      </c>
      <c r="C26" s="212" t="e">
        <f>'UBS Jardim Boa Vista'!#REF!+'UBS E NASF Malta Cardoso'!#REF!+'UBS Real Parque'!B30</f>
        <v>#REF!</v>
      </c>
      <c r="D26" s="219"/>
      <c r="E26" s="243" t="e">
        <f t="shared" si="10"/>
        <v>#REF!</v>
      </c>
      <c r="F26" s="219"/>
      <c r="G26" s="218"/>
      <c r="H26" s="219"/>
      <c r="I26" s="218"/>
      <c r="J26" s="216"/>
      <c r="K26" s="217"/>
      <c r="L26" s="219"/>
      <c r="M26" s="218"/>
      <c r="N26" s="219"/>
      <c r="O26" s="218"/>
      <c r="P26" s="219"/>
      <c r="Q26" s="218"/>
      <c r="R26" s="216"/>
      <c r="S26" s="220"/>
    </row>
    <row r="27" spans="1:19" x14ac:dyDescent="0.25">
      <c r="A27" t="s">
        <v>118</v>
      </c>
      <c r="B27" s="189" t="s">
        <v>310</v>
      </c>
      <c r="C27" s="221" t="e">
        <f>'UBS Vila Dalva'!#REF!+'UBS E NASF Malta Cardoso'!#REF!+'UBS Real Parque'!B31+'UBS Sao Remo'!B26+'AMA e UBS Vila Sonia'!B19</f>
        <v>#REF!</v>
      </c>
      <c r="D27" s="223"/>
      <c r="E27" s="222" t="e">
        <f t="shared" si="10"/>
        <v>#REF!</v>
      </c>
      <c r="F27" s="223"/>
      <c r="G27" s="224"/>
      <c r="H27" s="223"/>
      <c r="I27" s="218"/>
      <c r="J27" s="225"/>
      <c r="K27" s="226"/>
      <c r="L27" s="223"/>
      <c r="M27" s="224"/>
      <c r="N27" s="223"/>
      <c r="O27" s="224"/>
      <c r="P27" s="223"/>
      <c r="Q27" s="218"/>
      <c r="R27" s="225"/>
      <c r="S27" s="227"/>
    </row>
    <row r="28" spans="1:19" x14ac:dyDescent="0.25">
      <c r="A28" t="s">
        <v>118</v>
      </c>
      <c r="B28" s="189" t="s">
        <v>323</v>
      </c>
      <c r="C28" s="221" t="e">
        <f>'UBS Vila Dalva'!#REF!+'UBS Jardim Boa Vista'!#REF!+'UBS E NASF Malta Cardoso'!#REF!+'AMA e UBS Vila Sonia'!B21+'AMA_ UBS e NASF Paulo VI'!B35+'UBS Real Parque'!B33+' AMA e UBS Sao Jorge'!B29</f>
        <v>#REF!</v>
      </c>
      <c r="D28" s="223"/>
      <c r="E28" s="222" t="e">
        <f t="shared" si="10"/>
        <v>#REF!</v>
      </c>
      <c r="F28" s="223"/>
      <c r="G28" s="224"/>
      <c r="H28" s="223"/>
      <c r="I28" s="218"/>
      <c r="J28" s="225"/>
      <c r="K28" s="226"/>
      <c r="L28" s="223"/>
      <c r="M28" s="224"/>
      <c r="N28" s="223"/>
      <c r="O28" s="224"/>
      <c r="P28" s="223"/>
      <c r="Q28" s="218"/>
      <c r="R28" s="225"/>
      <c r="S28" s="227"/>
    </row>
    <row r="29" spans="1:19" x14ac:dyDescent="0.25">
      <c r="A29" t="s">
        <v>118</v>
      </c>
      <c r="B29" s="189" t="s">
        <v>308</v>
      </c>
      <c r="C29" s="221" t="e">
        <f>'UBS Vila Dalva'!#REF!+'UBS Jardim Boa Vista'!#REF!+'UBS E NASF Malta Cardoso'!#REF!+'UBS Real Parque'!B34+'UBS Sao Remo'!B29+'AMA e UBS Vila Sonia'!B22+'AMA_ UBS e NASF Paulo VI'!B36+' AMA e UBS Sao Jorge'!B31</f>
        <v>#REF!</v>
      </c>
      <c r="D29" s="223"/>
      <c r="E29" s="222" t="e">
        <f t="shared" si="10"/>
        <v>#REF!</v>
      </c>
      <c r="F29" s="223"/>
      <c r="G29" s="224"/>
      <c r="H29" s="223"/>
      <c r="I29" s="218"/>
      <c r="J29" s="225"/>
      <c r="K29" s="226"/>
      <c r="L29" s="223"/>
      <c r="M29" s="224"/>
      <c r="N29" s="223"/>
      <c r="O29" s="224"/>
      <c r="P29" s="223"/>
      <c r="Q29" s="218"/>
      <c r="R29" s="225"/>
      <c r="S29" s="227"/>
    </row>
    <row r="30" spans="1:19" x14ac:dyDescent="0.25">
      <c r="A30" t="s">
        <v>118</v>
      </c>
      <c r="B30" s="189" t="s">
        <v>307</v>
      </c>
      <c r="C30" s="221" t="e">
        <f>'UBS E NASF Malta Cardoso'!#REF!+'UBS Real Parque'!B32+'UBS Sao Remo'!B27+'AMA e UBS Vila Sonia'!B20+'AMA_ UBS e NASF Paulo VI'!B24+' AMA e UBS Sao Jorge'!B30</f>
        <v>#REF!</v>
      </c>
      <c r="D30" s="223"/>
      <c r="E30" s="222" t="e">
        <f t="shared" si="10"/>
        <v>#REF!</v>
      </c>
      <c r="F30" s="223"/>
      <c r="G30" s="224"/>
      <c r="H30" s="223"/>
      <c r="I30" s="218"/>
      <c r="J30" s="225"/>
      <c r="K30" s="226"/>
      <c r="L30" s="223"/>
      <c r="M30" s="224"/>
      <c r="N30" s="223"/>
      <c r="O30" s="224"/>
      <c r="P30" s="223"/>
      <c r="Q30" s="218"/>
      <c r="R30" s="225"/>
      <c r="S30" s="227"/>
    </row>
    <row r="31" spans="1:19" x14ac:dyDescent="0.25">
      <c r="A31" t="s">
        <v>118</v>
      </c>
      <c r="B31" s="189" t="s">
        <v>306</v>
      </c>
      <c r="C31" s="221" t="e">
        <f>'UBS Vila Dalva'!#REF!+'UBS Jardim Boa Vista'!#REF!+'UBS Real Parque'!B35+'UBS Sao Remo'!B32+'AMA e UBS Vila Sonia'!B23+'AMA_ UBS e NASF Paulo VI'!B27+' AMA e UBS Sao Jorge'!B33</f>
        <v>#REF!</v>
      </c>
      <c r="D31" s="223"/>
      <c r="E31" s="222" t="e">
        <f t="shared" si="10"/>
        <v>#REF!</v>
      </c>
      <c r="F31" s="223"/>
      <c r="G31" s="224"/>
      <c r="H31" s="223"/>
      <c r="I31" s="218"/>
      <c r="J31" s="225"/>
      <c r="K31" s="226"/>
      <c r="L31" s="223"/>
      <c r="M31" s="224"/>
      <c r="N31" s="223"/>
      <c r="O31" s="224"/>
      <c r="P31" s="223"/>
      <c r="Q31" s="218"/>
      <c r="R31" s="225"/>
      <c r="S31" s="227"/>
    </row>
    <row r="32" spans="1:19" x14ac:dyDescent="0.25">
      <c r="A32" t="s">
        <v>118</v>
      </c>
      <c r="B32" s="189" t="s">
        <v>305</v>
      </c>
      <c r="C32" s="221">
        <f>'AMA e UBS Vila Sonia'!B24</f>
        <v>7</v>
      </c>
      <c r="D32" s="223"/>
      <c r="E32" s="222">
        <f t="shared" si="10"/>
        <v>-7</v>
      </c>
      <c r="F32" s="223"/>
      <c r="G32" s="224"/>
      <c r="H32" s="223"/>
      <c r="I32" s="218"/>
      <c r="J32" s="225"/>
      <c r="K32" s="226"/>
      <c r="L32" s="223"/>
      <c r="M32" s="224"/>
      <c r="N32" s="223"/>
      <c r="O32" s="224"/>
      <c r="P32" s="223"/>
      <c r="Q32" s="218"/>
      <c r="R32" s="225"/>
      <c r="S32" s="227"/>
    </row>
    <row r="33" spans="1:19" x14ac:dyDescent="0.25">
      <c r="A33" t="s">
        <v>118</v>
      </c>
      <c r="B33" s="189" t="s">
        <v>304</v>
      </c>
      <c r="C33" s="221" t="e">
        <f>'UBS Vila Dalva'!#REF!+'UBS Sao Remo'!B34+'AMA e UBS Vila Sonia'!B25</f>
        <v>#REF!</v>
      </c>
      <c r="D33" s="223"/>
      <c r="E33" s="222" t="e">
        <f t="shared" si="10"/>
        <v>#REF!</v>
      </c>
      <c r="F33" s="223"/>
      <c r="G33" s="224"/>
      <c r="H33" s="223"/>
      <c r="I33" s="218"/>
      <c r="J33" s="225"/>
      <c r="K33" s="226"/>
      <c r="L33" s="223"/>
      <c r="M33" s="224"/>
      <c r="N33" s="223"/>
      <c r="O33" s="224"/>
      <c r="P33" s="223"/>
      <c r="Q33" s="218"/>
      <c r="R33" s="225"/>
      <c r="S33" s="227"/>
    </row>
    <row r="34" spans="1:19" x14ac:dyDescent="0.25">
      <c r="A34" t="s">
        <v>118</v>
      </c>
      <c r="B34" s="189" t="s">
        <v>303</v>
      </c>
      <c r="C34" s="221" t="e">
        <f>'UBS Jardim Boa Vista'!#REF!+'UBS E NASF Malta Cardoso'!#REF!+'UBS Real Parque'!B37+'UBS Sao Remo'!B35+'AMA e UBS Vila Sonia'!B27+'AMA_ UBS e NASF Paulo VI'!B37</f>
        <v>#REF!</v>
      </c>
      <c r="D34" s="223"/>
      <c r="E34" s="222" t="e">
        <f>D34-C34</f>
        <v>#REF!</v>
      </c>
      <c r="F34" s="223"/>
      <c r="G34" s="224"/>
      <c r="H34" s="223"/>
      <c r="I34" s="218"/>
      <c r="J34" s="225"/>
      <c r="K34" s="226"/>
      <c r="L34" s="223"/>
      <c r="M34" s="224"/>
      <c r="N34" s="223"/>
      <c r="O34" s="224"/>
      <c r="P34" s="223"/>
      <c r="Q34" s="218"/>
      <c r="R34" s="225"/>
      <c r="S34" s="227"/>
    </row>
    <row r="35" spans="1:19" x14ac:dyDescent="0.25">
      <c r="A35" t="s">
        <v>118</v>
      </c>
      <c r="B35" s="189" t="s">
        <v>302</v>
      </c>
      <c r="C35" s="221" t="e">
        <f>'UBS E NASF Malta Cardoso'!#REF!+'AMA e UBS Vila Sonia'!B26+'AMA_ UBS e NASF Paulo VI'!B33</f>
        <v>#REF!</v>
      </c>
      <c r="D35" s="223"/>
      <c r="E35" s="222" t="e">
        <f t="shared" si="10"/>
        <v>#REF!</v>
      </c>
      <c r="F35" s="223"/>
      <c r="G35" s="224"/>
      <c r="H35" s="223"/>
      <c r="I35" s="218"/>
      <c r="J35" s="225"/>
      <c r="K35" s="226"/>
      <c r="L35" s="223"/>
      <c r="M35" s="224"/>
      <c r="N35" s="223"/>
      <c r="O35" s="224"/>
      <c r="P35" s="223"/>
      <c r="Q35" s="218"/>
      <c r="R35" s="225"/>
      <c r="S35" s="227"/>
    </row>
    <row r="36" spans="1:19" x14ac:dyDescent="0.25">
      <c r="A36" t="s">
        <v>118</v>
      </c>
      <c r="B36" s="189" t="s">
        <v>301</v>
      </c>
      <c r="C36" s="221" t="e">
        <f>'UBS E NASF Malta Cardoso'!#REF!+'UBS E NASF Malta Cardoso'!#REF!</f>
        <v>#REF!</v>
      </c>
      <c r="D36" s="223"/>
      <c r="E36" s="222" t="e">
        <f t="shared" si="10"/>
        <v>#REF!</v>
      </c>
      <c r="F36" s="223"/>
      <c r="G36" s="224"/>
      <c r="H36" s="223"/>
      <c r="I36" s="218"/>
      <c r="J36" s="225"/>
      <c r="K36" s="226"/>
      <c r="L36" s="223"/>
      <c r="M36" s="224"/>
      <c r="N36" s="223"/>
      <c r="O36" s="224"/>
      <c r="P36" s="223"/>
      <c r="Q36" s="218"/>
      <c r="R36" s="225"/>
      <c r="S36" s="227"/>
    </row>
    <row r="37" spans="1:19" ht="15.75" thickBot="1" x14ac:dyDescent="0.3">
      <c r="A37" t="s">
        <v>118</v>
      </c>
      <c r="B37" s="190" t="s">
        <v>300</v>
      </c>
      <c r="C37" s="228" t="e">
        <f>'UBS Jardim Boa Vista'!#REF!</f>
        <v>#REF!</v>
      </c>
      <c r="D37" s="230"/>
      <c r="E37" s="229" t="e">
        <f t="shared" si="10"/>
        <v>#REF!</v>
      </c>
      <c r="F37" s="230"/>
      <c r="G37" s="231"/>
      <c r="H37" s="230"/>
      <c r="I37" s="231"/>
      <c r="J37" s="232"/>
      <c r="K37" s="233"/>
      <c r="L37" s="230"/>
      <c r="M37" s="231"/>
      <c r="N37" s="230"/>
      <c r="O37" s="231"/>
      <c r="P37" s="230"/>
      <c r="Q37" s="231"/>
      <c r="R37" s="232"/>
      <c r="S37" s="234"/>
    </row>
    <row r="38" spans="1:19" ht="15.75" thickBot="1" x14ac:dyDescent="0.3">
      <c r="B38" s="411" t="s">
        <v>122</v>
      </c>
      <c r="C38" s="235" t="e">
        <f>SUM(C26:C37)</f>
        <v>#REF!</v>
      </c>
      <c r="D38" s="237"/>
      <c r="E38" s="236" t="e">
        <f t="shared" si="10"/>
        <v>#REF!</v>
      </c>
      <c r="F38" s="237"/>
      <c r="G38" s="238"/>
      <c r="H38" s="237"/>
      <c r="I38" s="238"/>
      <c r="J38" s="239"/>
      <c r="K38" s="240"/>
      <c r="L38" s="237"/>
      <c r="M38" s="238"/>
      <c r="N38" s="237"/>
      <c r="O38" s="238"/>
      <c r="P38" s="237"/>
      <c r="Q38" s="238"/>
      <c r="R38" s="239"/>
      <c r="S38" s="241"/>
    </row>
    <row r="39" spans="1:19" ht="15.75" thickTop="1" x14ac:dyDescent="0.25">
      <c r="A39" t="s">
        <v>113</v>
      </c>
      <c r="B39" s="34" t="s">
        <v>299</v>
      </c>
      <c r="C39" s="212">
        <f>'AMA e UBS Vila Sonia'!B39+'AMA_ UBS e NASF Paulo VI'!B43+' AMA e UBS Sao Jorge'!B39</f>
        <v>43</v>
      </c>
      <c r="D39" s="219"/>
      <c r="E39" s="243">
        <f t="shared" si="10"/>
        <v>-43</v>
      </c>
      <c r="F39" s="219"/>
      <c r="G39" s="218"/>
      <c r="H39" s="219"/>
      <c r="I39" s="218"/>
      <c r="J39" s="216"/>
      <c r="K39" s="217"/>
      <c r="L39" s="219"/>
      <c r="M39" s="218"/>
      <c r="N39" s="219"/>
      <c r="O39" s="218"/>
      <c r="P39" s="219"/>
      <c r="Q39" s="218"/>
      <c r="R39" s="216"/>
      <c r="S39" s="220"/>
    </row>
    <row r="40" spans="1:19" ht="15.75" thickBot="1" x14ac:dyDescent="0.3">
      <c r="A40" t="s">
        <v>113</v>
      </c>
      <c r="B40" s="190" t="s">
        <v>272</v>
      </c>
      <c r="C40" s="417">
        <f>'AMA e UBS Vila Sonia'!B40+'AMA_ UBS e NASF Paulo VI'!B44+' AMA e UBS Sao Jorge'!B40</f>
        <v>36</v>
      </c>
      <c r="D40" s="230"/>
      <c r="E40" s="229">
        <f t="shared" si="10"/>
        <v>-36</v>
      </c>
      <c r="F40" s="230"/>
      <c r="G40" s="231"/>
      <c r="H40" s="230"/>
      <c r="I40" s="231"/>
      <c r="J40" s="232"/>
      <c r="K40" s="233"/>
      <c r="L40" s="230"/>
      <c r="M40" s="231"/>
      <c r="N40" s="230"/>
      <c r="O40" s="231"/>
      <c r="P40" s="230"/>
      <c r="Q40" s="231"/>
      <c r="R40" s="232"/>
      <c r="S40" s="234"/>
    </row>
    <row r="41" spans="1:19" ht="15.75" thickBot="1" x14ac:dyDescent="0.3">
      <c r="B41" s="412" t="s">
        <v>125</v>
      </c>
      <c r="C41" s="244">
        <f>SUM(C39:C40)</f>
        <v>79</v>
      </c>
      <c r="D41" s="246"/>
      <c r="E41" s="245">
        <f t="shared" si="10"/>
        <v>-79</v>
      </c>
      <c r="F41" s="246"/>
      <c r="G41" s="242"/>
      <c r="H41" s="246"/>
      <c r="I41" s="242"/>
      <c r="J41" s="247"/>
      <c r="K41" s="248"/>
      <c r="L41" s="246"/>
      <c r="M41" s="242"/>
      <c r="N41" s="246"/>
      <c r="O41" s="242"/>
      <c r="P41" s="246"/>
      <c r="Q41" s="242"/>
      <c r="R41" s="247"/>
      <c r="S41" s="249"/>
    </row>
    <row r="42" spans="1:19" ht="15.75" thickTop="1" x14ac:dyDescent="0.25">
      <c r="A42" t="s">
        <v>116</v>
      </c>
      <c r="B42" s="201" t="s">
        <v>298</v>
      </c>
      <c r="C42" s="212">
        <f>'PS BAND'!B15</f>
        <v>35</v>
      </c>
      <c r="D42" s="219"/>
      <c r="E42" s="243">
        <f t="shared" si="10"/>
        <v>-35</v>
      </c>
      <c r="F42" s="219"/>
      <c r="G42" s="218"/>
      <c r="H42" s="219"/>
      <c r="I42" s="218"/>
      <c r="J42" s="216"/>
      <c r="K42" s="217"/>
      <c r="L42" s="219"/>
      <c r="M42" s="218"/>
      <c r="N42" s="219"/>
      <c r="O42" s="218"/>
      <c r="P42" s="219"/>
      <c r="Q42" s="218"/>
      <c r="R42" s="216"/>
      <c r="S42" s="220"/>
    </row>
    <row r="43" spans="1:19" x14ac:dyDescent="0.25">
      <c r="A43" t="s">
        <v>116</v>
      </c>
      <c r="B43" s="201" t="s">
        <v>136</v>
      </c>
      <c r="C43" s="221">
        <f>'PS BAND'!B16</f>
        <v>1</v>
      </c>
      <c r="D43" s="223"/>
      <c r="E43" s="222">
        <f t="shared" si="10"/>
        <v>-1</v>
      </c>
      <c r="F43" s="223"/>
      <c r="G43" s="224"/>
      <c r="H43" s="223"/>
      <c r="I43" s="218"/>
      <c r="J43" s="225"/>
      <c r="K43" s="226"/>
      <c r="L43" s="223"/>
      <c r="M43" s="224"/>
      <c r="N43" s="223"/>
      <c r="O43" s="224"/>
      <c r="P43" s="223"/>
      <c r="Q43" s="218"/>
      <c r="R43" s="225"/>
      <c r="S43" s="227"/>
    </row>
    <row r="44" spans="1:19" x14ac:dyDescent="0.25">
      <c r="A44" t="s">
        <v>116</v>
      </c>
      <c r="B44" s="202" t="s">
        <v>296</v>
      </c>
      <c r="C44" s="221">
        <f>'PS BAND'!B19</f>
        <v>14</v>
      </c>
      <c r="D44" s="223"/>
      <c r="E44" s="222">
        <f t="shared" si="10"/>
        <v>-14</v>
      </c>
      <c r="F44" s="223"/>
      <c r="G44" s="224"/>
      <c r="H44" s="223"/>
      <c r="I44" s="218"/>
      <c r="J44" s="225"/>
      <c r="K44" s="226"/>
      <c r="L44" s="223"/>
      <c r="M44" s="224"/>
      <c r="N44" s="223"/>
      <c r="O44" s="224"/>
      <c r="P44" s="223"/>
      <c r="Q44" s="218"/>
      <c r="R44" s="225"/>
      <c r="S44" s="227"/>
    </row>
    <row r="45" spans="1:19" x14ac:dyDescent="0.25">
      <c r="A45" t="s">
        <v>116</v>
      </c>
      <c r="B45" s="203" t="s">
        <v>297</v>
      </c>
      <c r="C45" s="221">
        <f>'PS BAND'!B18</f>
        <v>1</v>
      </c>
      <c r="D45" s="223"/>
      <c r="E45" s="222">
        <f t="shared" si="10"/>
        <v>-1</v>
      </c>
      <c r="F45" s="223"/>
      <c r="G45" s="224"/>
      <c r="H45" s="223"/>
      <c r="I45" s="218"/>
      <c r="J45" s="225"/>
      <c r="K45" s="226"/>
      <c r="L45" s="223"/>
      <c r="M45" s="224"/>
      <c r="N45" s="223"/>
      <c r="O45" s="224"/>
      <c r="P45" s="223"/>
      <c r="Q45" s="218"/>
      <c r="R45" s="225"/>
      <c r="S45" s="227"/>
    </row>
    <row r="46" spans="1:19" ht="15.75" thickBot="1" x14ac:dyDescent="0.3">
      <c r="A46" t="s">
        <v>116</v>
      </c>
      <c r="B46" s="204" t="s">
        <v>137</v>
      </c>
      <c r="C46" s="221">
        <f>'PS BAND'!B18</f>
        <v>1</v>
      </c>
      <c r="D46" s="223"/>
      <c r="E46" s="222">
        <f t="shared" si="10"/>
        <v>-1</v>
      </c>
      <c r="F46" s="223"/>
      <c r="G46" s="224"/>
      <c r="H46" s="223"/>
      <c r="I46" s="218"/>
      <c r="J46" s="225"/>
      <c r="K46" s="226"/>
      <c r="L46" s="223"/>
      <c r="M46" s="224"/>
      <c r="N46" s="223"/>
      <c r="O46" s="224"/>
      <c r="P46" s="223"/>
      <c r="Q46" s="218"/>
      <c r="R46" s="225"/>
      <c r="S46" s="227"/>
    </row>
    <row r="47" spans="1:19" ht="15.75" thickBot="1" x14ac:dyDescent="0.3">
      <c r="B47" s="412" t="s">
        <v>121</v>
      </c>
      <c r="C47" s="244">
        <f>SUM(C42:C46)</f>
        <v>52</v>
      </c>
      <c r="D47" s="246"/>
      <c r="E47" s="245">
        <f t="shared" si="10"/>
        <v>-52</v>
      </c>
      <c r="F47" s="246"/>
      <c r="G47" s="242"/>
      <c r="H47" s="246"/>
      <c r="I47" s="242"/>
      <c r="J47" s="247"/>
      <c r="K47" s="248"/>
      <c r="L47" s="246"/>
      <c r="M47" s="242"/>
      <c r="N47" s="246"/>
      <c r="O47" s="242"/>
      <c r="P47" s="246"/>
      <c r="Q47" s="242"/>
      <c r="R47" s="247"/>
      <c r="S47" s="249"/>
    </row>
    <row r="48" spans="1:19" ht="15.75" thickTop="1" x14ac:dyDescent="0.25"/>
  </sheetData>
  <sortState xmlns:xlrd2="http://schemas.microsoft.com/office/spreadsheetml/2017/richdata2" ref="B27:B121">
    <sortCondition ref="B27:B121"/>
  </sortState>
  <mergeCells count="3">
    <mergeCell ref="B2:B3"/>
    <mergeCell ref="C2:C3"/>
    <mergeCell ref="D2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77"/>
  <sheetViews>
    <sheetView workbookViewId="0">
      <pane ySplit="4" topLeftCell="A50" activePane="bottomLeft" state="frozen"/>
      <selection activeCell="B1" sqref="B1"/>
      <selection pane="bottomLeft" activeCell="D4" sqref="D4:S4"/>
    </sheetView>
  </sheetViews>
  <sheetFormatPr defaultRowHeight="15" x14ac:dyDescent="0.25"/>
  <cols>
    <col min="1" max="1" width="11" bestFit="1" customWidth="1"/>
    <col min="2" max="2" width="37.140625" customWidth="1"/>
    <col min="3" max="3" width="9.7109375" style="206" customWidth="1"/>
    <col min="4" max="4" width="8" style="18" customWidth="1"/>
    <col min="5" max="5" width="8.140625" style="18" bestFit="1" customWidth="1"/>
    <col min="6" max="6" width="7.7109375" style="18" bestFit="1" customWidth="1"/>
    <col min="7" max="7" width="9" style="18" customWidth="1"/>
    <col min="8" max="8" width="7.85546875" style="18" bestFit="1" customWidth="1"/>
    <col min="9" max="9" width="9.140625" style="18"/>
    <col min="10" max="10" width="10" style="206" customWidth="1"/>
    <col min="11" max="11" width="9.140625" style="18"/>
    <col min="12" max="12" width="7.5703125" style="18" bestFit="1" customWidth="1"/>
    <col min="13" max="13" width="8.140625" style="18" bestFit="1" customWidth="1"/>
    <col min="14" max="14" width="7.5703125" style="18" bestFit="1" customWidth="1"/>
    <col min="15" max="15" width="8.140625" style="18" bestFit="1" customWidth="1"/>
    <col min="16" max="16" width="7.5703125" style="18" bestFit="1" customWidth="1"/>
    <col min="17" max="17" width="8.140625" style="18" bestFit="1" customWidth="1"/>
    <col min="18" max="18" width="10" style="206" customWidth="1"/>
    <col min="19" max="19" width="9.140625" style="18"/>
  </cols>
  <sheetData>
    <row r="1" spans="1:19" ht="18" x14ac:dyDescent="0.35">
      <c r="A1" s="418" t="s">
        <v>233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251"/>
      <c r="O1" s="251"/>
    </row>
    <row r="2" spans="1:19" ht="18" x14ac:dyDescent="0.35">
      <c r="A2" s="418" t="s">
        <v>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251"/>
      <c r="O2" s="251"/>
    </row>
    <row r="3" spans="1:19" ht="15.75" customHeight="1" x14ac:dyDescent="0.25">
      <c r="A3" t="s">
        <v>33</v>
      </c>
      <c r="B3" s="428" t="s">
        <v>35</v>
      </c>
      <c r="C3" s="425" t="s">
        <v>34</v>
      </c>
      <c r="D3" s="426"/>
      <c r="E3" s="426"/>
      <c r="F3" s="426"/>
      <c r="G3" s="426"/>
      <c r="H3" s="427"/>
      <c r="I3" s="427"/>
      <c r="J3" s="426"/>
      <c r="K3" s="426"/>
      <c r="L3" s="426"/>
      <c r="M3" s="426"/>
    </row>
    <row r="4" spans="1:19" ht="15.75" x14ac:dyDescent="0.25">
      <c r="A4" s="19"/>
      <c r="B4" s="429"/>
      <c r="C4" s="425"/>
      <c r="D4" s="184"/>
      <c r="E4" s="277"/>
      <c r="F4" s="184"/>
      <c r="G4" s="277"/>
      <c r="H4" s="184"/>
      <c r="I4" s="277"/>
      <c r="J4" s="185"/>
      <c r="K4" s="185"/>
      <c r="L4" s="184"/>
      <c r="M4" s="277"/>
      <c r="N4" s="184"/>
      <c r="O4" s="277"/>
      <c r="P4" s="184"/>
      <c r="Q4" s="277"/>
      <c r="R4" s="185"/>
      <c r="S4" s="185"/>
    </row>
    <row r="5" spans="1:19" x14ac:dyDescent="0.25">
      <c r="A5" s="20" t="s">
        <v>36</v>
      </c>
      <c r="B5" s="419" t="s">
        <v>37</v>
      </c>
      <c r="C5" s="419"/>
      <c r="D5" s="419"/>
      <c r="E5" s="419"/>
      <c r="F5" s="419"/>
      <c r="G5" s="419"/>
      <c r="H5" s="420"/>
      <c r="I5" s="420"/>
      <c r="J5" s="419"/>
      <c r="K5" s="419"/>
      <c r="L5" s="419"/>
      <c r="M5" s="419"/>
    </row>
    <row r="6" spans="1:19" ht="15" customHeight="1" x14ac:dyDescent="0.25">
      <c r="A6" s="21">
        <v>4</v>
      </c>
      <c r="B6" s="32" t="s">
        <v>38</v>
      </c>
      <c r="C6" s="278"/>
      <c r="D6" s="252"/>
      <c r="E6" s="29"/>
      <c r="F6" s="252"/>
      <c r="G6" s="29"/>
      <c r="H6" s="252"/>
      <c r="I6" s="29"/>
      <c r="J6" s="267"/>
      <c r="K6" s="30"/>
      <c r="L6" s="252"/>
      <c r="M6" s="29"/>
      <c r="N6" s="252"/>
      <c r="O6" s="29"/>
      <c r="P6" s="252"/>
      <c r="Q6" s="29"/>
      <c r="R6" s="267"/>
      <c r="S6" s="30"/>
    </row>
    <row r="7" spans="1:19" ht="15" customHeight="1" x14ac:dyDescent="0.25">
      <c r="A7" s="21">
        <v>6</v>
      </c>
      <c r="B7" s="32" t="s">
        <v>39</v>
      </c>
      <c r="C7" s="278"/>
      <c r="D7" s="252"/>
      <c r="E7" s="29"/>
      <c r="F7" s="252"/>
      <c r="G7" s="29"/>
      <c r="H7" s="252"/>
      <c r="I7" s="29"/>
      <c r="J7" s="267"/>
      <c r="K7" s="30"/>
      <c r="L7" s="252"/>
      <c r="M7" s="29"/>
      <c r="N7" s="252"/>
      <c r="O7" s="29"/>
      <c r="P7" s="252"/>
      <c r="Q7" s="29"/>
      <c r="R7" s="267"/>
      <c r="S7" s="30"/>
    </row>
    <row r="8" spans="1:19" ht="15" customHeight="1" x14ac:dyDescent="0.25">
      <c r="A8" s="21">
        <v>5</v>
      </c>
      <c r="B8" s="32" t="s">
        <v>41</v>
      </c>
      <c r="C8" s="278"/>
      <c r="D8" s="252"/>
      <c r="E8" s="29"/>
      <c r="F8" s="252"/>
      <c r="G8" s="29"/>
      <c r="H8" s="252"/>
      <c r="I8" s="29"/>
      <c r="J8" s="267"/>
      <c r="K8" s="30"/>
      <c r="L8" s="252"/>
      <c r="M8" s="29"/>
      <c r="N8" s="252"/>
      <c r="O8" s="29"/>
      <c r="P8" s="252"/>
      <c r="Q8" s="29"/>
      <c r="R8" s="267"/>
      <c r="S8" s="30"/>
    </row>
    <row r="9" spans="1:19" ht="15" customHeight="1" x14ac:dyDescent="0.25">
      <c r="A9" s="21">
        <v>6</v>
      </c>
      <c r="B9" s="32" t="s">
        <v>43</v>
      </c>
      <c r="C9" s="278"/>
      <c r="D9" s="252"/>
      <c r="E9" s="29"/>
      <c r="F9" s="252"/>
      <c r="G9" s="29"/>
      <c r="H9" s="252"/>
      <c r="I9" s="29"/>
      <c r="J9" s="267"/>
      <c r="K9" s="30"/>
      <c r="L9" s="252"/>
      <c r="M9" s="29"/>
      <c r="N9" s="252"/>
      <c r="O9" s="29"/>
      <c r="P9" s="252"/>
      <c r="Q9" s="29"/>
      <c r="R9" s="267"/>
      <c r="S9" s="30"/>
    </row>
    <row r="10" spans="1:19" ht="15" customHeight="1" x14ac:dyDescent="0.25">
      <c r="A10" s="21">
        <v>6</v>
      </c>
      <c r="B10" s="32" t="s">
        <v>44</v>
      </c>
      <c r="C10" s="278"/>
      <c r="D10" s="252"/>
      <c r="E10" s="29"/>
      <c r="F10" s="252"/>
      <c r="G10" s="29"/>
      <c r="H10" s="252"/>
      <c r="I10" s="29"/>
      <c r="J10" s="267"/>
      <c r="K10" s="30"/>
      <c r="L10" s="252"/>
      <c r="M10" s="29"/>
      <c r="N10" s="252"/>
      <c r="O10" s="29"/>
      <c r="P10" s="252"/>
      <c r="Q10" s="29"/>
      <c r="R10" s="267"/>
      <c r="S10" s="30"/>
    </row>
    <row r="11" spans="1:19" ht="15" customHeight="1" x14ac:dyDescent="0.25">
      <c r="A11" s="21">
        <v>4</v>
      </c>
      <c r="B11" s="33" t="s">
        <v>46</v>
      </c>
      <c r="C11" s="278"/>
      <c r="D11" s="252"/>
      <c r="E11" s="29"/>
      <c r="F11" s="252"/>
      <c r="G11" s="29"/>
      <c r="H11" s="252"/>
      <c r="I11" s="29"/>
      <c r="J11" s="267"/>
      <c r="K11" s="30"/>
      <c r="L11" s="252"/>
      <c r="M11" s="29"/>
      <c r="N11" s="252"/>
      <c r="O11" s="29"/>
      <c r="P11" s="252"/>
      <c r="Q11" s="29"/>
      <c r="R11" s="267"/>
      <c r="S11" s="30"/>
    </row>
    <row r="12" spans="1:19" ht="15" customHeight="1" x14ac:dyDescent="0.25">
      <c r="A12" s="21">
        <v>5</v>
      </c>
      <c r="B12" s="32" t="s">
        <v>47</v>
      </c>
      <c r="C12" s="278"/>
      <c r="D12" s="252"/>
      <c r="E12" s="29"/>
      <c r="F12" s="252"/>
      <c r="G12" s="29"/>
      <c r="H12" s="252"/>
      <c r="I12" s="29"/>
      <c r="J12" s="267"/>
      <c r="K12" s="30"/>
      <c r="L12" s="252"/>
      <c r="M12" s="29"/>
      <c r="N12" s="252"/>
      <c r="O12" s="29"/>
      <c r="P12" s="252"/>
      <c r="Q12" s="29"/>
      <c r="R12" s="267"/>
      <c r="S12" s="30"/>
    </row>
    <row r="13" spans="1:19" ht="15" customHeight="1" x14ac:dyDescent="0.25">
      <c r="A13" s="21">
        <v>3</v>
      </c>
      <c r="B13" s="32" t="s">
        <v>40</v>
      </c>
      <c r="C13" s="278"/>
      <c r="D13" s="252"/>
      <c r="E13" s="29"/>
      <c r="F13" s="252"/>
      <c r="G13" s="29"/>
      <c r="H13" s="252"/>
      <c r="I13" s="29"/>
      <c r="J13" s="267"/>
      <c r="K13" s="30"/>
      <c r="L13" s="252"/>
      <c r="M13" s="29"/>
      <c r="N13" s="252"/>
      <c r="O13" s="29"/>
      <c r="P13" s="252"/>
      <c r="Q13" s="29"/>
      <c r="R13" s="267"/>
      <c r="S13" s="30"/>
    </row>
    <row r="14" spans="1:19" ht="15" customHeight="1" x14ac:dyDescent="0.25">
      <c r="A14" s="21">
        <v>2</v>
      </c>
      <c r="B14" s="32" t="s">
        <v>42</v>
      </c>
      <c r="C14" s="278"/>
      <c r="D14" s="252"/>
      <c r="E14" s="29"/>
      <c r="F14" s="252"/>
      <c r="G14" s="29"/>
      <c r="H14" s="252"/>
      <c r="I14" s="29"/>
      <c r="J14" s="267"/>
      <c r="K14" s="30"/>
      <c r="L14" s="252"/>
      <c r="M14" s="29"/>
      <c r="N14" s="252"/>
      <c r="O14" s="29"/>
      <c r="P14" s="252"/>
      <c r="Q14" s="29"/>
      <c r="R14" s="267"/>
      <c r="S14" s="30"/>
    </row>
    <row r="15" spans="1:19" ht="15" customHeight="1" thickBot="1" x14ac:dyDescent="0.3">
      <c r="A15" s="21">
        <v>1</v>
      </c>
      <c r="B15" s="258" t="s">
        <v>45</v>
      </c>
      <c r="C15" s="279"/>
      <c r="D15" s="259"/>
      <c r="E15" s="260"/>
      <c r="F15" s="259"/>
      <c r="G15" s="260"/>
      <c r="H15" s="259"/>
      <c r="I15" s="260"/>
      <c r="J15" s="268"/>
      <c r="K15" s="261"/>
      <c r="L15" s="259"/>
      <c r="M15" s="260"/>
      <c r="N15" s="259"/>
      <c r="O15" s="260"/>
      <c r="P15" s="259"/>
      <c r="Q15" s="260"/>
      <c r="R15" s="268"/>
      <c r="S15" s="261"/>
    </row>
    <row r="16" spans="1:19" ht="15" customHeight="1" x14ac:dyDescent="0.25">
      <c r="A16" s="21"/>
      <c r="B16" s="262" t="s">
        <v>133</v>
      </c>
      <c r="C16" s="263"/>
      <c r="D16" s="264"/>
      <c r="E16" s="265"/>
      <c r="F16" s="264"/>
      <c r="G16" s="265"/>
      <c r="H16" s="264"/>
      <c r="I16" s="265"/>
      <c r="J16" s="264"/>
      <c r="K16" s="266"/>
      <c r="L16" s="264"/>
      <c r="M16" s="265"/>
      <c r="N16" s="264"/>
      <c r="O16" s="265"/>
      <c r="P16" s="264"/>
      <c r="Q16" s="265"/>
      <c r="R16" s="264"/>
      <c r="S16" s="266"/>
    </row>
    <row r="17" spans="1:19" x14ac:dyDescent="0.25">
      <c r="A17" s="19" t="s">
        <v>48</v>
      </c>
      <c r="B17" s="419" t="s">
        <v>49</v>
      </c>
      <c r="C17" s="419"/>
      <c r="D17" s="419"/>
      <c r="E17" s="419"/>
      <c r="F17" s="419"/>
      <c r="G17" s="419"/>
      <c r="H17" s="420"/>
      <c r="I17" s="420"/>
      <c r="J17" s="419"/>
      <c r="K17" s="419"/>
      <c r="L17" s="419"/>
      <c r="M17" s="419"/>
    </row>
    <row r="18" spans="1:19" ht="15" customHeight="1" x14ac:dyDescent="0.25">
      <c r="A18" s="19"/>
      <c r="B18" s="32" t="s">
        <v>53</v>
      </c>
      <c r="C18" s="278"/>
      <c r="D18" s="252"/>
      <c r="E18" s="29"/>
      <c r="F18" s="252"/>
      <c r="G18" s="29"/>
      <c r="H18" s="252"/>
      <c r="I18" s="29"/>
      <c r="J18" s="267"/>
      <c r="K18" s="30"/>
      <c r="L18" s="252"/>
      <c r="M18" s="29"/>
      <c r="N18" s="252"/>
      <c r="O18" s="29"/>
      <c r="P18" s="252"/>
      <c r="Q18" s="29"/>
      <c r="R18" s="267"/>
      <c r="S18" s="30"/>
    </row>
    <row r="19" spans="1:19" ht="15" customHeight="1" x14ac:dyDescent="0.25">
      <c r="A19" s="19"/>
      <c r="B19" s="32" t="s">
        <v>52</v>
      </c>
      <c r="C19" s="278"/>
      <c r="D19" s="252"/>
      <c r="E19" s="29"/>
      <c r="F19" s="252"/>
      <c r="G19" s="29"/>
      <c r="H19" s="252"/>
      <c r="I19" s="29"/>
      <c r="J19" s="267"/>
      <c r="K19" s="30"/>
      <c r="L19" s="252"/>
      <c r="M19" s="29"/>
      <c r="N19" s="252"/>
      <c r="O19" s="29"/>
      <c r="P19" s="252"/>
      <c r="Q19" s="29"/>
      <c r="R19" s="267"/>
      <c r="S19" s="30"/>
    </row>
    <row r="20" spans="1:19" ht="15" customHeight="1" x14ac:dyDescent="0.25">
      <c r="A20" s="19"/>
      <c r="B20" s="32" t="s">
        <v>51</v>
      </c>
      <c r="C20" s="278"/>
      <c r="D20" s="252"/>
      <c r="E20" s="29"/>
      <c r="F20" s="252"/>
      <c r="G20" s="29"/>
      <c r="H20" s="252"/>
      <c r="I20" s="29"/>
      <c r="J20" s="267"/>
      <c r="K20" s="30"/>
      <c r="L20" s="252"/>
      <c r="M20" s="29"/>
      <c r="N20" s="252"/>
      <c r="O20" s="29"/>
      <c r="P20" s="252"/>
      <c r="Q20" s="29"/>
      <c r="R20" s="267"/>
      <c r="S20" s="30"/>
    </row>
    <row r="21" spans="1:19" ht="15" customHeight="1" x14ac:dyDescent="0.25">
      <c r="A21" s="19"/>
      <c r="B21" s="32" t="s">
        <v>54</v>
      </c>
      <c r="C21" s="278"/>
      <c r="D21" s="252"/>
      <c r="E21" s="29"/>
      <c r="F21" s="252"/>
      <c r="G21" s="29"/>
      <c r="H21" s="252"/>
      <c r="I21" s="29"/>
      <c r="J21" s="267"/>
      <c r="K21" s="30"/>
      <c r="L21" s="252"/>
      <c r="M21" s="29"/>
      <c r="N21" s="252"/>
      <c r="O21" s="29"/>
      <c r="P21" s="252"/>
      <c r="Q21" s="29"/>
      <c r="R21" s="267"/>
      <c r="S21" s="30"/>
    </row>
    <row r="22" spans="1:19" ht="15" customHeight="1" x14ac:dyDescent="0.25">
      <c r="A22" s="19"/>
      <c r="B22" s="32" t="s">
        <v>55</v>
      </c>
      <c r="C22" s="278"/>
      <c r="D22" s="252"/>
      <c r="E22" s="29"/>
      <c r="F22" s="252"/>
      <c r="G22" s="29"/>
      <c r="H22" s="252"/>
      <c r="I22" s="29"/>
      <c r="J22" s="267"/>
      <c r="K22" s="30"/>
      <c r="L22" s="252"/>
      <c r="M22" s="29"/>
      <c r="N22" s="252"/>
      <c r="O22" s="29"/>
      <c r="P22" s="252"/>
      <c r="Q22" s="29"/>
      <c r="R22" s="267"/>
      <c r="S22" s="30"/>
    </row>
    <row r="23" spans="1:19" ht="31.5" customHeight="1" x14ac:dyDescent="0.25">
      <c r="A23" s="19"/>
      <c r="B23" s="32" t="s">
        <v>56</v>
      </c>
      <c r="C23" s="278"/>
      <c r="D23" s="252"/>
      <c r="E23" s="29"/>
      <c r="F23" s="252"/>
      <c r="G23" s="29"/>
      <c r="H23" s="252"/>
      <c r="I23" s="29"/>
      <c r="J23" s="267"/>
      <c r="K23" s="30"/>
      <c r="L23" s="252"/>
      <c r="M23" s="29"/>
      <c r="N23" s="252"/>
      <c r="O23" s="29"/>
      <c r="P23" s="252"/>
      <c r="Q23" s="29"/>
      <c r="R23" s="267"/>
      <c r="S23" s="30"/>
    </row>
    <row r="24" spans="1:19" ht="15" customHeight="1" x14ac:dyDescent="0.25">
      <c r="A24" s="19"/>
      <c r="B24" s="32" t="s">
        <v>50</v>
      </c>
      <c r="C24" s="278"/>
      <c r="D24" s="252"/>
      <c r="E24" s="29"/>
      <c r="F24" s="252"/>
      <c r="G24" s="29"/>
      <c r="H24" s="252"/>
      <c r="I24" s="29"/>
      <c r="J24" s="267"/>
      <c r="K24" s="30"/>
      <c r="L24" s="252"/>
      <c r="M24" s="29"/>
      <c r="N24" s="252"/>
      <c r="O24" s="29"/>
      <c r="P24" s="252"/>
      <c r="Q24" s="29"/>
      <c r="R24" s="267"/>
      <c r="S24" s="30"/>
    </row>
    <row r="25" spans="1:19" x14ac:dyDescent="0.25">
      <c r="A25" s="19"/>
      <c r="B25" s="419" t="s">
        <v>57</v>
      </c>
      <c r="C25" s="419"/>
      <c r="D25" s="419"/>
      <c r="E25" s="419"/>
      <c r="F25" s="419"/>
      <c r="G25" s="419"/>
      <c r="H25" s="420"/>
      <c r="I25" s="420"/>
      <c r="J25" s="419"/>
      <c r="K25" s="419"/>
      <c r="L25" s="419"/>
      <c r="M25" s="419"/>
    </row>
    <row r="26" spans="1:19" ht="15" customHeight="1" x14ac:dyDescent="0.25">
      <c r="A26" s="25" t="s">
        <v>58</v>
      </c>
      <c r="B26" s="32" t="s">
        <v>59</v>
      </c>
      <c r="C26" s="280"/>
      <c r="D26" s="254"/>
      <c r="E26" s="29"/>
      <c r="F26" s="254"/>
      <c r="G26" s="29"/>
      <c r="H26" s="254"/>
      <c r="I26" s="29"/>
      <c r="J26" s="267"/>
      <c r="K26" s="30"/>
      <c r="L26" s="254"/>
      <c r="M26" s="29"/>
      <c r="N26" s="254"/>
      <c r="O26" s="29"/>
      <c r="P26" s="254"/>
      <c r="Q26" s="29"/>
      <c r="R26" s="267"/>
      <c r="S26" s="30"/>
    </row>
    <row r="27" spans="1:19" x14ac:dyDescent="0.25">
      <c r="A27" s="19"/>
      <c r="B27" s="419" t="s">
        <v>60</v>
      </c>
      <c r="C27" s="419"/>
      <c r="D27" s="419"/>
      <c r="E27" s="419"/>
      <c r="F27" s="419"/>
      <c r="G27" s="419"/>
      <c r="H27" s="420"/>
      <c r="I27" s="420"/>
      <c r="J27" s="419"/>
      <c r="K27" s="419"/>
      <c r="L27" s="419"/>
      <c r="M27" s="419"/>
    </row>
    <row r="28" spans="1:19" ht="15" customHeight="1" x14ac:dyDescent="0.25">
      <c r="A28" s="25">
        <v>21</v>
      </c>
      <c r="B28" s="32" t="s">
        <v>61</v>
      </c>
      <c r="C28" s="280"/>
      <c r="D28" s="253"/>
      <c r="E28" s="29"/>
      <c r="F28" s="253"/>
      <c r="G28" s="29"/>
      <c r="H28" s="253"/>
      <c r="I28" s="29"/>
      <c r="J28" s="269"/>
      <c r="K28" s="30"/>
      <c r="L28" s="253"/>
      <c r="M28" s="29"/>
      <c r="N28" s="253"/>
      <c r="O28" s="29"/>
      <c r="P28" s="253"/>
      <c r="Q28" s="29"/>
      <c r="R28" s="267"/>
      <c r="S28" s="30"/>
    </row>
    <row r="29" spans="1:19" ht="35.25" customHeight="1" x14ac:dyDescent="0.25">
      <c r="A29" s="25">
        <v>10</v>
      </c>
      <c r="B29" s="32" t="s">
        <v>62</v>
      </c>
      <c r="C29" s="280"/>
      <c r="D29" s="253"/>
      <c r="E29" s="29"/>
      <c r="F29" s="253"/>
      <c r="G29" s="29"/>
      <c r="H29" s="253"/>
      <c r="I29" s="29"/>
      <c r="J29" s="269"/>
      <c r="K29" s="30"/>
      <c r="L29" s="253"/>
      <c r="M29" s="29"/>
      <c r="N29" s="253"/>
      <c r="O29" s="29"/>
      <c r="P29" s="253"/>
      <c r="Q29" s="29"/>
      <c r="R29" s="267"/>
      <c r="S29" s="30"/>
    </row>
    <row r="30" spans="1:19" ht="35.25" customHeight="1" x14ac:dyDescent="0.25">
      <c r="A30" s="25"/>
      <c r="B30" s="419" t="s">
        <v>138</v>
      </c>
      <c r="C30" s="419"/>
      <c r="D30" s="419"/>
      <c r="E30" s="419"/>
      <c r="F30" s="419"/>
      <c r="G30" s="419"/>
      <c r="H30" s="420"/>
      <c r="I30" s="420"/>
      <c r="J30" s="419"/>
      <c r="K30" s="419"/>
      <c r="L30" s="419"/>
      <c r="M30" s="419"/>
    </row>
    <row r="31" spans="1:19" ht="35.25" customHeight="1" x14ac:dyDescent="0.25">
      <c r="A31" s="25"/>
      <c r="B31" s="32" t="s">
        <v>115</v>
      </c>
      <c r="C31" s="280"/>
      <c r="D31" s="253"/>
      <c r="E31" s="29"/>
      <c r="F31" s="253"/>
      <c r="G31" s="29"/>
      <c r="H31" s="253"/>
      <c r="I31" s="29"/>
      <c r="J31" s="269"/>
      <c r="K31" s="30"/>
      <c r="L31" s="253"/>
      <c r="M31" s="29"/>
      <c r="N31" s="253"/>
      <c r="O31" s="29"/>
      <c r="P31" s="253"/>
      <c r="Q31" s="29"/>
      <c r="R31" s="267"/>
      <c r="S31" s="30"/>
    </row>
    <row r="32" spans="1:19" x14ac:dyDescent="0.25">
      <c r="A32" s="19"/>
      <c r="B32" s="419" t="s">
        <v>63</v>
      </c>
      <c r="C32" s="419"/>
      <c r="D32" s="419"/>
      <c r="E32" s="419"/>
      <c r="F32" s="419"/>
      <c r="G32" s="419"/>
      <c r="H32" s="420"/>
      <c r="I32" s="420"/>
      <c r="J32" s="419"/>
      <c r="K32" s="419"/>
      <c r="L32" s="419"/>
      <c r="M32" s="419"/>
    </row>
    <row r="33" spans="1:19" ht="15" customHeight="1" x14ac:dyDescent="0.25">
      <c r="A33" s="25">
        <v>8</v>
      </c>
      <c r="B33" s="32" t="s">
        <v>64</v>
      </c>
      <c r="C33" s="280"/>
      <c r="D33" s="254"/>
      <c r="E33" s="29"/>
      <c r="F33" s="254"/>
      <c r="G33" s="29"/>
      <c r="H33" s="254"/>
      <c r="I33" s="29"/>
      <c r="J33" s="267"/>
      <c r="K33" s="30"/>
      <c r="L33" s="254"/>
      <c r="M33" s="29"/>
      <c r="N33" s="254"/>
      <c r="O33" s="29"/>
      <c r="P33" s="254"/>
      <c r="Q33" s="29"/>
      <c r="R33" s="267"/>
      <c r="S33" s="30"/>
    </row>
    <row r="34" spans="1:19" ht="15" customHeight="1" x14ac:dyDescent="0.25">
      <c r="A34" s="21" t="s">
        <v>65</v>
      </c>
      <c r="B34" s="419" t="s">
        <v>66</v>
      </c>
      <c r="C34" s="419"/>
      <c r="D34" s="419"/>
      <c r="E34" s="419"/>
      <c r="F34" s="419"/>
      <c r="G34" s="419"/>
      <c r="H34" s="420"/>
      <c r="I34" s="420"/>
      <c r="J34" s="419"/>
      <c r="K34" s="419"/>
      <c r="L34" s="419"/>
      <c r="M34" s="419"/>
    </row>
    <row r="35" spans="1:19" ht="15" customHeight="1" x14ac:dyDescent="0.25">
      <c r="A35" s="21">
        <v>2</v>
      </c>
      <c r="B35" s="32" t="s">
        <v>67</v>
      </c>
      <c r="C35" s="278"/>
      <c r="D35" s="252"/>
      <c r="E35" s="29"/>
      <c r="F35" s="252"/>
      <c r="G35" s="29"/>
      <c r="H35" s="252"/>
      <c r="I35" s="29"/>
      <c r="J35" s="267"/>
      <c r="K35" s="30"/>
      <c r="L35" s="252"/>
      <c r="M35" s="29"/>
      <c r="N35" s="252"/>
      <c r="O35" s="29"/>
      <c r="P35" s="252"/>
      <c r="Q35" s="29"/>
      <c r="R35" s="267"/>
      <c r="S35" s="30"/>
    </row>
    <row r="36" spans="1:19" ht="15" customHeight="1" x14ac:dyDescent="0.25">
      <c r="A36" s="21">
        <v>1</v>
      </c>
      <c r="B36" s="32" t="s">
        <v>71</v>
      </c>
      <c r="C36" s="278"/>
      <c r="D36" s="252"/>
      <c r="E36" s="30"/>
      <c r="F36" s="252"/>
      <c r="G36" s="30"/>
      <c r="H36" s="252"/>
      <c r="I36" s="30"/>
      <c r="J36" s="267"/>
      <c r="K36" s="30"/>
      <c r="L36" s="252"/>
      <c r="M36" s="30"/>
      <c r="N36" s="252"/>
      <c r="O36" s="30"/>
      <c r="P36" s="252"/>
      <c r="Q36" s="30"/>
      <c r="R36" s="267"/>
      <c r="S36" s="30"/>
    </row>
    <row r="37" spans="1:19" ht="15" customHeight="1" x14ac:dyDescent="0.25">
      <c r="A37" s="21">
        <v>1</v>
      </c>
      <c r="B37" s="32" t="s">
        <v>68</v>
      </c>
      <c r="C37" s="278"/>
      <c r="D37" s="252"/>
      <c r="E37" s="29"/>
      <c r="F37" s="252"/>
      <c r="G37" s="29"/>
      <c r="H37" s="252"/>
      <c r="I37" s="29"/>
      <c r="J37" s="267"/>
      <c r="K37" s="30"/>
      <c r="L37" s="252"/>
      <c r="M37" s="29"/>
      <c r="N37" s="252"/>
      <c r="O37" s="29"/>
      <c r="P37" s="252"/>
      <c r="Q37" s="29"/>
      <c r="R37" s="267"/>
      <c r="S37" s="30"/>
    </row>
    <row r="38" spans="1:19" ht="15" customHeight="1" x14ac:dyDescent="0.25">
      <c r="A38" s="21">
        <v>3</v>
      </c>
      <c r="B38" s="32" t="s">
        <v>69</v>
      </c>
      <c r="C38" s="278"/>
      <c r="D38" s="252"/>
      <c r="E38" s="29"/>
      <c r="F38" s="252"/>
      <c r="G38" s="29"/>
      <c r="H38" s="252"/>
      <c r="I38" s="29"/>
      <c r="J38" s="267"/>
      <c r="K38" s="30"/>
      <c r="L38" s="252"/>
      <c r="M38" s="29"/>
      <c r="N38" s="252"/>
      <c r="O38" s="29"/>
      <c r="P38" s="252"/>
      <c r="Q38" s="29"/>
      <c r="R38" s="267"/>
      <c r="S38" s="30"/>
    </row>
    <row r="39" spans="1:19" ht="15" customHeight="1" x14ac:dyDescent="0.25">
      <c r="A39" s="21">
        <v>2</v>
      </c>
      <c r="B39" s="32" t="s">
        <v>70</v>
      </c>
      <c r="C39" s="278"/>
      <c r="D39" s="252"/>
      <c r="E39" s="29"/>
      <c r="F39" s="252"/>
      <c r="G39" s="29"/>
      <c r="H39" s="252"/>
      <c r="I39" s="29"/>
      <c r="J39" s="267"/>
      <c r="K39" s="30"/>
      <c r="L39" s="252"/>
      <c r="M39" s="29"/>
      <c r="N39" s="252"/>
      <c r="O39" s="29"/>
      <c r="P39" s="252"/>
      <c r="Q39" s="29"/>
      <c r="R39" s="267"/>
      <c r="S39" s="30"/>
    </row>
    <row r="40" spans="1:19" ht="15" customHeight="1" x14ac:dyDescent="0.25">
      <c r="A40" s="21">
        <v>2</v>
      </c>
      <c r="B40" s="32" t="s">
        <v>72</v>
      </c>
      <c r="C40" s="278"/>
      <c r="D40" s="252"/>
      <c r="E40" s="29"/>
      <c r="F40" s="252"/>
      <c r="G40" s="29"/>
      <c r="H40" s="252"/>
      <c r="I40" s="29"/>
      <c r="J40" s="267"/>
      <c r="K40" s="30"/>
      <c r="L40" s="252"/>
      <c r="M40" s="29"/>
      <c r="N40" s="252"/>
      <c r="O40" s="29"/>
      <c r="P40" s="252"/>
      <c r="Q40" s="29"/>
      <c r="R40" s="267"/>
      <c r="S40" s="30"/>
    </row>
    <row r="41" spans="1:19" ht="15" customHeight="1" x14ac:dyDescent="0.25">
      <c r="A41" s="21">
        <v>1</v>
      </c>
      <c r="B41" s="32" t="s">
        <v>73</v>
      </c>
      <c r="C41" s="278"/>
      <c r="D41" s="252"/>
      <c r="E41" s="29"/>
      <c r="F41" s="252"/>
      <c r="G41" s="29"/>
      <c r="H41" s="252"/>
      <c r="I41" s="29"/>
      <c r="J41" s="267"/>
      <c r="K41" s="30"/>
      <c r="L41" s="252"/>
      <c r="M41" s="29"/>
      <c r="N41" s="252"/>
      <c r="O41" s="29"/>
      <c r="P41" s="252"/>
      <c r="Q41" s="29"/>
      <c r="R41" s="267"/>
      <c r="S41" s="30"/>
    </row>
    <row r="42" spans="1:19" ht="15" customHeight="1" x14ac:dyDescent="0.25">
      <c r="A42" s="21" t="s">
        <v>74</v>
      </c>
      <c r="B42" s="32" t="s">
        <v>75</v>
      </c>
      <c r="C42" s="278"/>
      <c r="D42" s="252"/>
      <c r="E42" s="29"/>
      <c r="F42" s="252"/>
      <c r="G42" s="29"/>
      <c r="H42" s="252"/>
      <c r="I42" s="29"/>
      <c r="J42" s="267"/>
      <c r="K42" s="30"/>
      <c r="L42" s="252"/>
      <c r="M42" s="29"/>
      <c r="N42" s="252"/>
      <c r="O42" s="29"/>
      <c r="P42" s="252"/>
      <c r="Q42" s="29"/>
      <c r="R42" s="267"/>
      <c r="S42" s="30"/>
    </row>
    <row r="43" spans="1:19" x14ac:dyDescent="0.25">
      <c r="A43" s="22" t="s">
        <v>76</v>
      </c>
      <c r="B43" s="419" t="s">
        <v>77</v>
      </c>
      <c r="C43" s="419"/>
      <c r="D43" s="419"/>
      <c r="E43" s="419"/>
      <c r="F43" s="419"/>
      <c r="G43" s="419"/>
      <c r="H43" s="420"/>
      <c r="I43" s="420"/>
      <c r="J43" s="419"/>
      <c r="K43" s="419"/>
      <c r="L43" s="419"/>
      <c r="M43" s="419"/>
    </row>
    <row r="44" spans="1:19" ht="15" customHeight="1" x14ac:dyDescent="0.25">
      <c r="A44" s="21">
        <v>42</v>
      </c>
      <c r="B44" s="32" t="s">
        <v>78</v>
      </c>
      <c r="C44" s="281"/>
      <c r="D44" s="256"/>
      <c r="E44" s="29"/>
      <c r="F44" s="256"/>
      <c r="G44" s="29"/>
      <c r="H44" s="256"/>
      <c r="I44" s="29"/>
      <c r="J44" s="270"/>
      <c r="K44" s="30"/>
      <c r="L44" s="256"/>
      <c r="M44" s="29"/>
      <c r="N44" s="256"/>
      <c r="O44" s="29"/>
      <c r="P44" s="256"/>
      <c r="Q44" s="29"/>
      <c r="R44" s="267"/>
      <c r="S44" s="30"/>
    </row>
    <row r="45" spans="1:19" ht="15" customHeight="1" x14ac:dyDescent="0.25">
      <c r="A45" s="21">
        <v>31</v>
      </c>
      <c r="B45" s="32" t="s">
        <v>79</v>
      </c>
      <c r="C45" s="278"/>
      <c r="D45" s="252"/>
      <c r="E45" s="29"/>
      <c r="F45" s="252"/>
      <c r="G45" s="29"/>
      <c r="H45" s="252"/>
      <c r="I45" s="29"/>
      <c r="J45" s="267"/>
      <c r="K45" s="30"/>
      <c r="L45" s="252"/>
      <c r="M45" s="29"/>
      <c r="N45" s="252"/>
      <c r="O45" s="29"/>
      <c r="P45" s="252"/>
      <c r="Q45" s="29"/>
      <c r="R45" s="267"/>
      <c r="S45" s="30"/>
    </row>
    <row r="46" spans="1:19" ht="15" customHeight="1" x14ac:dyDescent="0.25">
      <c r="A46" s="21">
        <v>31</v>
      </c>
      <c r="B46" s="28" t="s">
        <v>80</v>
      </c>
      <c r="C46" s="278"/>
      <c r="D46" s="252"/>
      <c r="E46" s="29"/>
      <c r="F46" s="252"/>
      <c r="G46" s="29"/>
      <c r="H46" s="252"/>
      <c r="I46" s="29"/>
      <c r="J46" s="267"/>
      <c r="K46" s="30"/>
      <c r="L46" s="252"/>
      <c r="M46" s="29"/>
      <c r="N46" s="252"/>
      <c r="O46" s="29"/>
      <c r="P46" s="252"/>
      <c r="Q46" s="29"/>
      <c r="R46" s="267"/>
      <c r="S46" s="30"/>
    </row>
    <row r="47" spans="1:19" ht="15" customHeight="1" x14ac:dyDescent="0.25">
      <c r="A47" s="21">
        <v>5</v>
      </c>
      <c r="B47" s="28" t="s">
        <v>81</v>
      </c>
      <c r="C47" s="278"/>
      <c r="D47" s="252"/>
      <c r="E47" s="29"/>
      <c r="F47" s="252"/>
      <c r="G47" s="29"/>
      <c r="H47" s="252"/>
      <c r="I47" s="29"/>
      <c r="J47" s="267"/>
      <c r="K47" s="30"/>
      <c r="L47" s="252"/>
      <c r="M47" s="29"/>
      <c r="N47" s="252"/>
      <c r="O47" s="29"/>
      <c r="P47" s="252"/>
      <c r="Q47" s="29"/>
      <c r="R47" s="267"/>
      <c r="S47" s="30"/>
    </row>
    <row r="48" spans="1:19" ht="15" customHeight="1" x14ac:dyDescent="0.25">
      <c r="A48" s="21">
        <v>0.5</v>
      </c>
      <c r="B48" s="28" t="s">
        <v>82</v>
      </c>
      <c r="C48" s="278"/>
      <c r="D48" s="252"/>
      <c r="E48" s="29"/>
      <c r="F48" s="252"/>
      <c r="G48" s="29"/>
      <c r="H48" s="252"/>
      <c r="I48" s="29"/>
      <c r="J48" s="267"/>
      <c r="K48" s="30"/>
      <c r="L48" s="252"/>
      <c r="M48" s="29"/>
      <c r="N48" s="252"/>
      <c r="O48" s="29"/>
      <c r="P48" s="252"/>
      <c r="Q48" s="29"/>
      <c r="R48" s="267"/>
      <c r="S48" s="30"/>
    </row>
    <row r="49" spans="1:19" ht="15" customHeight="1" x14ac:dyDescent="0.25">
      <c r="A49" s="21">
        <v>1</v>
      </c>
      <c r="B49" s="28" t="s">
        <v>83</v>
      </c>
      <c r="C49" s="278"/>
      <c r="D49" s="252"/>
      <c r="E49" s="29"/>
      <c r="F49" s="252"/>
      <c r="G49" s="29"/>
      <c r="H49" s="252"/>
      <c r="I49" s="29"/>
      <c r="J49" s="267"/>
      <c r="K49" s="30"/>
      <c r="L49" s="252"/>
      <c r="M49" s="29"/>
      <c r="N49" s="252"/>
      <c r="O49" s="29"/>
      <c r="P49" s="252"/>
      <c r="Q49" s="29"/>
      <c r="R49" s="267"/>
      <c r="S49" s="30"/>
    </row>
    <row r="50" spans="1:19" ht="15" customHeight="1" x14ac:dyDescent="0.25">
      <c r="A50" s="21"/>
      <c r="B50" s="28" t="s">
        <v>114</v>
      </c>
      <c r="C50" s="278"/>
      <c r="D50" s="252"/>
      <c r="E50" s="29"/>
      <c r="F50" s="252"/>
      <c r="G50" s="29"/>
      <c r="H50" s="252"/>
      <c r="I50" s="29"/>
      <c r="J50" s="267"/>
      <c r="K50" s="30"/>
      <c r="L50" s="252"/>
      <c r="M50" s="29"/>
      <c r="N50" s="252"/>
      <c r="O50" s="29"/>
      <c r="P50" s="252"/>
      <c r="Q50" s="29"/>
      <c r="R50" s="267"/>
      <c r="S50" s="30"/>
    </row>
    <row r="51" spans="1:19" ht="15" customHeight="1" x14ac:dyDescent="0.25">
      <c r="A51" s="21">
        <v>57</v>
      </c>
      <c r="B51" s="28" t="s">
        <v>84</v>
      </c>
      <c r="C51" s="278"/>
      <c r="D51" s="252"/>
      <c r="E51" s="29"/>
      <c r="F51" s="252"/>
      <c r="G51" s="29"/>
      <c r="H51" s="252"/>
      <c r="I51" s="29"/>
      <c r="J51" s="267"/>
      <c r="K51" s="30"/>
      <c r="L51" s="252"/>
      <c r="M51" s="29"/>
      <c r="N51" s="252"/>
      <c r="O51" s="29"/>
      <c r="P51" s="252"/>
      <c r="Q51" s="29"/>
      <c r="R51" s="267"/>
      <c r="S51" s="30"/>
    </row>
    <row r="52" spans="1:19" ht="15" customHeight="1" x14ac:dyDescent="0.25">
      <c r="A52" s="18"/>
      <c r="B52" s="28" t="s">
        <v>85</v>
      </c>
      <c r="C52" s="278"/>
      <c r="D52" s="252"/>
      <c r="E52" s="29"/>
      <c r="F52" s="252"/>
      <c r="G52" s="29"/>
      <c r="H52" s="252"/>
      <c r="I52" s="29"/>
      <c r="J52" s="267"/>
      <c r="K52" s="30"/>
      <c r="L52" s="252"/>
      <c r="M52" s="29"/>
      <c r="N52" s="252"/>
      <c r="O52" s="29"/>
      <c r="P52" s="252"/>
      <c r="Q52" s="29"/>
      <c r="R52" s="267"/>
      <c r="S52" s="30"/>
    </row>
    <row r="53" spans="1:19" x14ac:dyDescent="0.25">
      <c r="B53" s="419" t="s">
        <v>86</v>
      </c>
      <c r="C53" s="419"/>
      <c r="D53" s="419"/>
      <c r="E53" s="419"/>
      <c r="F53" s="419"/>
      <c r="G53" s="419"/>
      <c r="H53" s="420"/>
      <c r="I53" s="420"/>
      <c r="J53" s="419"/>
      <c r="K53" s="419"/>
      <c r="L53" s="419"/>
      <c r="M53" s="419"/>
    </row>
    <row r="54" spans="1:19" ht="15" customHeight="1" x14ac:dyDescent="0.25">
      <c r="B54" s="45" t="s">
        <v>87</v>
      </c>
      <c r="C54" s="269"/>
      <c r="D54" s="255"/>
      <c r="E54" s="255"/>
      <c r="F54" s="255"/>
      <c r="G54" s="255"/>
      <c r="H54" s="255"/>
      <c r="I54" s="255"/>
      <c r="J54" s="269"/>
      <c r="K54" s="255"/>
      <c r="L54" s="255"/>
      <c r="M54" s="255"/>
      <c r="N54" s="255"/>
      <c r="O54" s="255"/>
      <c r="P54" s="255"/>
      <c r="Q54" s="255"/>
      <c r="R54" s="269"/>
      <c r="S54" s="255"/>
    </row>
    <row r="55" spans="1:19" ht="15" customHeight="1" x14ac:dyDescent="0.25">
      <c r="A55">
        <v>9</v>
      </c>
      <c r="B55" s="32" t="s">
        <v>88</v>
      </c>
      <c r="C55" s="282"/>
      <c r="D55" s="256"/>
      <c r="E55" s="29"/>
      <c r="F55" s="256"/>
      <c r="G55" s="29"/>
      <c r="H55" s="256"/>
      <c r="I55" s="29"/>
      <c r="J55" s="270"/>
      <c r="K55" s="30"/>
      <c r="L55" s="256"/>
      <c r="M55" s="29"/>
      <c r="N55" s="256"/>
      <c r="O55" s="29"/>
      <c r="P55" s="256"/>
      <c r="Q55" s="29"/>
      <c r="R55" s="267"/>
      <c r="S55" s="30"/>
    </row>
    <row r="56" spans="1:19" ht="15" customHeight="1" x14ac:dyDescent="0.25">
      <c r="A56">
        <v>9</v>
      </c>
      <c r="B56" s="32" t="s">
        <v>89</v>
      </c>
      <c r="C56" s="282"/>
      <c r="D56" s="256"/>
      <c r="E56" s="29"/>
      <c r="F56" s="256"/>
      <c r="G56" s="29"/>
      <c r="H56" s="256"/>
      <c r="I56" s="29"/>
      <c r="J56" s="270"/>
      <c r="K56" s="30"/>
      <c r="L56" s="256"/>
      <c r="M56" s="29"/>
      <c r="N56" s="256"/>
      <c r="O56" s="29"/>
      <c r="P56" s="256"/>
      <c r="Q56" s="29"/>
      <c r="R56" s="267"/>
      <c r="S56" s="30"/>
    </row>
    <row r="57" spans="1:19" ht="15" customHeight="1" x14ac:dyDescent="0.25">
      <c r="A57">
        <v>54</v>
      </c>
      <c r="B57" s="32" t="s">
        <v>90</v>
      </c>
      <c r="C57" s="282"/>
      <c r="D57" s="256"/>
      <c r="E57" s="29"/>
      <c r="F57" s="256"/>
      <c r="G57" s="29"/>
      <c r="H57" s="256"/>
      <c r="I57" s="29"/>
      <c r="J57" s="270"/>
      <c r="K57" s="30"/>
      <c r="L57" s="256"/>
      <c r="M57" s="29"/>
      <c r="N57" s="256"/>
      <c r="O57" s="29"/>
      <c r="P57" s="256"/>
      <c r="Q57" s="29"/>
      <c r="R57" s="267"/>
      <c r="S57" s="30"/>
    </row>
    <row r="58" spans="1:19" ht="15" customHeight="1" x14ac:dyDescent="0.25">
      <c r="A58" t="s">
        <v>91</v>
      </c>
      <c r="B58" s="32" t="s">
        <v>92</v>
      </c>
      <c r="C58" s="282"/>
      <c r="D58" s="256"/>
      <c r="E58" s="29"/>
      <c r="F58" s="256"/>
      <c r="G58" s="29"/>
      <c r="H58" s="256"/>
      <c r="I58" s="29"/>
      <c r="J58" s="270"/>
      <c r="K58" s="30"/>
      <c r="L58" s="256"/>
      <c r="M58" s="29"/>
      <c r="N58" s="256"/>
      <c r="O58" s="29"/>
      <c r="P58" s="256"/>
      <c r="Q58" s="29"/>
      <c r="R58" s="267"/>
      <c r="S58" s="30"/>
    </row>
    <row r="59" spans="1:19" ht="15" customHeight="1" x14ac:dyDescent="0.25">
      <c r="B59" s="32" t="s">
        <v>93</v>
      </c>
      <c r="C59" s="282"/>
      <c r="D59" s="256"/>
      <c r="E59" s="29"/>
      <c r="F59" s="256"/>
      <c r="G59" s="29"/>
      <c r="H59" s="256"/>
      <c r="I59" s="29"/>
      <c r="J59" s="270"/>
      <c r="K59" s="30"/>
      <c r="L59" s="256"/>
      <c r="M59" s="29"/>
      <c r="N59" s="256"/>
      <c r="O59" s="29"/>
      <c r="P59" s="256"/>
      <c r="Q59" s="29"/>
      <c r="R59" s="267"/>
      <c r="S59" s="30"/>
    </row>
    <row r="60" spans="1:19" ht="15" customHeight="1" x14ac:dyDescent="0.25">
      <c r="A60">
        <v>4</v>
      </c>
      <c r="B60" s="32" t="s">
        <v>78</v>
      </c>
      <c r="C60" s="282"/>
      <c r="D60" s="256"/>
      <c r="E60" s="29"/>
      <c r="F60" s="256"/>
      <c r="G60" s="29"/>
      <c r="H60" s="256"/>
      <c r="I60" s="29"/>
      <c r="J60" s="270"/>
      <c r="K60" s="30"/>
      <c r="L60" s="256"/>
      <c r="M60" s="29"/>
      <c r="N60" s="256"/>
      <c r="O60" s="29"/>
      <c r="P60" s="256"/>
      <c r="Q60" s="29"/>
      <c r="R60" s="267"/>
      <c r="S60" s="30"/>
    </row>
    <row r="61" spans="1:19" ht="15" customHeight="1" x14ac:dyDescent="0.25">
      <c r="A61">
        <v>4</v>
      </c>
      <c r="B61" s="32" t="s">
        <v>79</v>
      </c>
      <c r="C61" s="282"/>
      <c r="D61" s="256"/>
      <c r="E61" s="29"/>
      <c r="F61" s="256"/>
      <c r="G61" s="29"/>
      <c r="H61" s="256"/>
      <c r="I61" s="29"/>
      <c r="J61" s="270"/>
      <c r="K61" s="30"/>
      <c r="L61" s="256"/>
      <c r="M61" s="29"/>
      <c r="N61" s="256"/>
      <c r="O61" s="29"/>
      <c r="P61" s="256"/>
      <c r="Q61" s="29"/>
      <c r="R61" s="267"/>
      <c r="S61" s="30"/>
    </row>
    <row r="62" spans="1:19" ht="15" customHeight="1" x14ac:dyDescent="0.25">
      <c r="A62">
        <v>4</v>
      </c>
      <c r="B62" s="32" t="s">
        <v>80</v>
      </c>
      <c r="C62" s="282"/>
      <c r="D62" s="256"/>
      <c r="E62" s="29"/>
      <c r="F62" s="256"/>
      <c r="G62" s="29"/>
      <c r="H62" s="256"/>
      <c r="I62" s="29"/>
      <c r="J62" s="270"/>
      <c r="K62" s="30"/>
      <c r="L62" s="256"/>
      <c r="M62" s="29"/>
      <c r="N62" s="256"/>
      <c r="O62" s="29"/>
      <c r="P62" s="256"/>
      <c r="Q62" s="29"/>
      <c r="R62" s="267"/>
      <c r="S62" s="30"/>
    </row>
    <row r="63" spans="1:19" ht="15" customHeight="1" x14ac:dyDescent="0.25">
      <c r="A63">
        <v>3</v>
      </c>
      <c r="B63" s="32" t="s">
        <v>81</v>
      </c>
      <c r="C63" s="282"/>
      <c r="D63" s="256"/>
      <c r="E63" s="29"/>
      <c r="F63" s="256"/>
      <c r="G63" s="29"/>
      <c r="H63" s="256"/>
      <c r="I63" s="29"/>
      <c r="J63" s="270"/>
      <c r="K63" s="30"/>
      <c r="L63" s="256"/>
      <c r="M63" s="29"/>
      <c r="N63" s="256"/>
      <c r="O63" s="29"/>
      <c r="P63" s="256"/>
      <c r="Q63" s="29"/>
      <c r="R63" s="267"/>
      <c r="S63" s="30"/>
    </row>
    <row r="64" spans="1:19" ht="15" customHeight="1" x14ac:dyDescent="0.25">
      <c r="A64" t="s">
        <v>94</v>
      </c>
      <c r="B64" s="32" t="s">
        <v>95</v>
      </c>
      <c r="C64" s="282"/>
      <c r="D64" s="256"/>
      <c r="E64" s="29"/>
      <c r="F64" s="256"/>
      <c r="G64" s="29"/>
      <c r="H64" s="256"/>
      <c r="I64" s="29"/>
      <c r="J64" s="270"/>
      <c r="K64" s="30"/>
      <c r="L64" s="256"/>
      <c r="M64" s="29"/>
      <c r="N64" s="256"/>
      <c r="O64" s="29"/>
      <c r="P64" s="256"/>
      <c r="Q64" s="29"/>
      <c r="R64" s="267"/>
      <c r="S64" s="30"/>
    </row>
    <row r="65" spans="1:19" s="272" customFormat="1" ht="31.5" customHeight="1" x14ac:dyDescent="0.25">
      <c r="B65" s="32" t="s">
        <v>96</v>
      </c>
      <c r="C65" s="283"/>
      <c r="D65" s="273"/>
      <c r="E65" s="29"/>
      <c r="F65" s="273"/>
      <c r="G65" s="29"/>
      <c r="H65" s="273"/>
      <c r="I65" s="29"/>
      <c r="J65" s="274"/>
      <c r="K65" s="30"/>
      <c r="L65" s="273"/>
      <c r="M65" s="29"/>
      <c r="N65" s="273"/>
      <c r="O65" s="29"/>
      <c r="P65" s="273"/>
      <c r="Q65" s="29"/>
      <c r="R65" s="267"/>
      <c r="S65" s="30"/>
    </row>
    <row r="66" spans="1:19" ht="15" customHeight="1" x14ac:dyDescent="0.25">
      <c r="B66" s="421" t="s">
        <v>97</v>
      </c>
      <c r="C66" s="422"/>
      <c r="D66" s="422"/>
      <c r="E66" s="422"/>
      <c r="F66" s="422"/>
      <c r="G66" s="422"/>
      <c r="H66" s="423"/>
      <c r="I66" s="423"/>
      <c r="J66" s="422"/>
      <c r="K66" s="422"/>
      <c r="L66" s="422"/>
      <c r="M66" s="424"/>
    </row>
    <row r="67" spans="1:19" ht="15" customHeight="1" x14ac:dyDescent="0.25">
      <c r="A67" t="s">
        <v>98</v>
      </c>
      <c r="B67" s="31" t="s">
        <v>99</v>
      </c>
      <c r="C67" s="282"/>
      <c r="D67" s="257"/>
      <c r="E67" s="257"/>
      <c r="F67" s="257"/>
      <c r="G67" s="257"/>
      <c r="H67" s="257"/>
      <c r="I67" s="257"/>
      <c r="J67" s="271"/>
      <c r="K67" s="257"/>
      <c r="L67" s="257"/>
      <c r="M67" s="257"/>
      <c r="N67" s="257"/>
      <c r="O67" s="257"/>
      <c r="P67" s="257"/>
      <c r="Q67" s="257"/>
      <c r="R67" s="271"/>
      <c r="S67" s="257"/>
    </row>
    <row r="68" spans="1:19" ht="15" customHeight="1" x14ac:dyDescent="0.25">
      <c r="A68" t="s">
        <v>100</v>
      </c>
      <c r="B68" s="31" t="s">
        <v>101</v>
      </c>
      <c r="C68" s="282"/>
      <c r="D68" s="257"/>
      <c r="E68" s="257"/>
      <c r="F68" s="257"/>
      <c r="G68" s="257"/>
      <c r="H68" s="257"/>
      <c r="I68" s="257"/>
      <c r="J68" s="271"/>
      <c r="K68" s="257"/>
      <c r="L68" s="257"/>
      <c r="M68" s="257"/>
      <c r="N68" s="257"/>
      <c r="O68" s="257"/>
      <c r="P68" s="257"/>
      <c r="Q68" s="257"/>
      <c r="R68" s="271"/>
      <c r="S68" s="257"/>
    </row>
    <row r="69" spans="1:19" x14ac:dyDescent="0.25">
      <c r="A69" t="s">
        <v>102</v>
      </c>
      <c r="B69" s="419" t="s">
        <v>103</v>
      </c>
      <c r="C69" s="419"/>
      <c r="D69" s="419"/>
      <c r="E69" s="419"/>
      <c r="F69" s="419"/>
      <c r="G69" s="419"/>
      <c r="H69" s="420"/>
      <c r="I69" s="420"/>
      <c r="J69" s="419"/>
      <c r="K69" s="419"/>
      <c r="L69" s="419"/>
      <c r="M69" s="419"/>
    </row>
    <row r="70" spans="1:19" ht="15" customHeight="1" x14ac:dyDescent="0.25">
      <c r="A70" t="s">
        <v>104</v>
      </c>
      <c r="B70" s="32" t="s">
        <v>105</v>
      </c>
      <c r="C70" s="278"/>
      <c r="D70" s="252"/>
      <c r="E70" s="29"/>
      <c r="F70" s="252"/>
      <c r="G70" s="29"/>
      <c r="H70" s="252"/>
      <c r="I70" s="29"/>
      <c r="J70" s="267"/>
      <c r="K70" s="30"/>
      <c r="L70" s="252"/>
      <c r="M70" s="29"/>
      <c r="N70" s="252"/>
      <c r="O70" s="29"/>
      <c r="P70" s="252"/>
      <c r="Q70" s="29"/>
      <c r="R70" s="267"/>
      <c r="S70" s="30"/>
    </row>
    <row r="71" spans="1:19" ht="15" customHeight="1" x14ac:dyDescent="0.25">
      <c r="A71">
        <v>1</v>
      </c>
      <c r="B71" s="32" t="s">
        <v>106</v>
      </c>
      <c r="C71" s="278"/>
      <c r="D71" s="252"/>
      <c r="E71" s="29"/>
      <c r="F71" s="252"/>
      <c r="G71" s="29"/>
      <c r="H71" s="252"/>
      <c r="I71" s="29"/>
      <c r="J71" s="267"/>
      <c r="K71" s="30"/>
      <c r="L71" s="252"/>
      <c r="M71" s="29"/>
      <c r="N71" s="252"/>
      <c r="O71" s="29"/>
      <c r="P71" s="252"/>
      <c r="Q71" s="29"/>
      <c r="R71" s="267"/>
      <c r="S71" s="30"/>
    </row>
    <row r="72" spans="1:19" ht="15" customHeight="1" x14ac:dyDescent="0.25">
      <c r="A72">
        <v>1</v>
      </c>
      <c r="B72" s="33" t="s">
        <v>107</v>
      </c>
      <c r="C72" s="278"/>
      <c r="D72" s="252"/>
      <c r="E72" s="29"/>
      <c r="F72" s="252"/>
      <c r="G72" s="29"/>
      <c r="H72" s="252"/>
      <c r="I72" s="29"/>
      <c r="J72" s="267"/>
      <c r="K72" s="30"/>
      <c r="L72" s="252"/>
      <c r="M72" s="29"/>
      <c r="N72" s="252"/>
      <c r="O72" s="29"/>
      <c r="P72" s="252"/>
      <c r="Q72" s="29"/>
      <c r="R72" s="267"/>
      <c r="S72" s="30"/>
    </row>
    <row r="73" spans="1:19" ht="15" customHeight="1" x14ac:dyDescent="0.25">
      <c r="A73">
        <v>2</v>
      </c>
      <c r="B73" s="32" t="s">
        <v>108</v>
      </c>
      <c r="C73" s="278"/>
      <c r="D73" s="252"/>
      <c r="E73" s="29"/>
      <c r="F73" s="252"/>
      <c r="G73" s="29"/>
      <c r="H73" s="252"/>
      <c r="I73" s="29"/>
      <c r="J73" s="267"/>
      <c r="K73" s="30"/>
      <c r="L73" s="252"/>
      <c r="M73" s="29"/>
      <c r="N73" s="252"/>
      <c r="O73" s="29"/>
      <c r="P73" s="252"/>
      <c r="Q73" s="29"/>
      <c r="R73" s="267"/>
      <c r="S73" s="30"/>
    </row>
    <row r="74" spans="1:19" ht="15" customHeight="1" x14ac:dyDescent="0.25">
      <c r="A74">
        <v>2</v>
      </c>
      <c r="B74" s="32" t="s">
        <v>109</v>
      </c>
      <c r="C74" s="278"/>
      <c r="D74" s="252"/>
      <c r="E74" s="29"/>
      <c r="F74" s="252"/>
      <c r="G74" s="29"/>
      <c r="H74" s="252"/>
      <c r="I74" s="29"/>
      <c r="J74" s="267"/>
      <c r="K74" s="30"/>
      <c r="L74" s="252"/>
      <c r="M74" s="29"/>
      <c r="N74" s="252"/>
      <c r="O74" s="29"/>
      <c r="P74" s="252"/>
      <c r="Q74" s="29"/>
      <c r="R74" s="267"/>
      <c r="S74" s="30"/>
    </row>
    <row r="75" spans="1:19" ht="15" customHeight="1" x14ac:dyDescent="0.25">
      <c r="A75">
        <v>1</v>
      </c>
      <c r="B75" s="33" t="s">
        <v>110</v>
      </c>
      <c r="C75" s="278"/>
      <c r="D75" s="252"/>
      <c r="E75" s="29"/>
      <c r="F75" s="252"/>
      <c r="G75" s="29"/>
      <c r="H75" s="252"/>
      <c r="I75" s="29"/>
      <c r="J75" s="267"/>
      <c r="K75" s="30"/>
      <c r="L75" s="252"/>
      <c r="M75" s="29"/>
      <c r="N75" s="252"/>
      <c r="O75" s="29"/>
      <c r="P75" s="252"/>
      <c r="Q75" s="29"/>
      <c r="R75" s="267"/>
      <c r="S75" s="30"/>
    </row>
    <row r="76" spans="1:19" ht="15" customHeight="1" x14ac:dyDescent="0.25">
      <c r="A76">
        <v>1</v>
      </c>
      <c r="B76" s="32" t="s">
        <v>111</v>
      </c>
      <c r="C76" s="278"/>
      <c r="D76" s="252"/>
      <c r="E76" s="29"/>
      <c r="F76" s="252"/>
      <c r="G76" s="29"/>
      <c r="H76" s="252"/>
      <c r="I76" s="29"/>
      <c r="J76" s="267"/>
      <c r="K76" s="30"/>
      <c r="L76" s="252"/>
      <c r="M76" s="29"/>
      <c r="N76" s="252"/>
      <c r="O76" s="29"/>
      <c r="P76" s="252"/>
      <c r="Q76" s="29"/>
      <c r="R76" s="267"/>
      <c r="S76" s="30"/>
    </row>
    <row r="77" spans="1:19" x14ac:dyDescent="0.25">
      <c r="A77" s="23" t="s">
        <v>112</v>
      </c>
      <c r="B77" s="19"/>
      <c r="C77" s="207"/>
      <c r="D77" s="21"/>
      <c r="E77" s="21"/>
      <c r="F77" s="21"/>
      <c r="G77" s="21"/>
      <c r="H77" s="21"/>
      <c r="I77" s="21"/>
      <c r="J77" s="207"/>
      <c r="K77" s="21"/>
      <c r="L77" s="21"/>
      <c r="M77" s="21"/>
      <c r="N77" s="21"/>
      <c r="O77" s="21"/>
      <c r="P77" s="21"/>
      <c r="Q77" s="21"/>
      <c r="R77" s="207"/>
      <c r="S77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30"/>
  <sheetViews>
    <sheetView workbookViewId="0">
      <selection activeCell="E15" sqref="E15"/>
    </sheetView>
  </sheetViews>
  <sheetFormatPr defaultRowHeight="15" x14ac:dyDescent="0.25"/>
  <cols>
    <col min="1" max="1" width="62" bestFit="1" customWidth="1"/>
    <col min="2" max="2" width="12.7109375" bestFit="1" customWidth="1"/>
    <col min="3" max="10" width="7.5703125" bestFit="1" customWidth="1"/>
    <col min="11" max="11" width="12.28515625" bestFit="1" customWidth="1"/>
    <col min="12" max="12" width="6.85546875" bestFit="1" customWidth="1"/>
    <col min="13" max="13" width="7.140625" bestFit="1" customWidth="1"/>
    <col min="14" max="14" width="19.7109375" customWidth="1"/>
  </cols>
  <sheetData>
    <row r="2" spans="1:16" x14ac:dyDescent="0.25">
      <c r="A2" s="645" t="s">
        <v>234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O2" s="646"/>
      <c r="P2" s="646"/>
    </row>
    <row r="3" spans="1:16" x14ac:dyDescent="0.25">
      <c r="A3" s="123" t="s">
        <v>19</v>
      </c>
      <c r="B3" s="124">
        <v>42339</v>
      </c>
      <c r="C3" s="125">
        <v>42370</v>
      </c>
      <c r="D3" s="124">
        <v>42401</v>
      </c>
      <c r="E3" s="125">
        <v>42430</v>
      </c>
      <c r="F3" s="124">
        <v>42461</v>
      </c>
      <c r="G3" s="125">
        <v>42491</v>
      </c>
      <c r="H3" s="124">
        <v>42522</v>
      </c>
      <c r="I3" s="125">
        <v>42552</v>
      </c>
      <c r="J3" s="124">
        <v>42583</v>
      </c>
      <c r="K3" s="125">
        <v>42614</v>
      </c>
      <c r="L3" s="125">
        <v>42644</v>
      </c>
      <c r="M3" s="125">
        <v>42675</v>
      </c>
      <c r="N3" s="300"/>
      <c r="O3" s="126"/>
      <c r="P3" s="126"/>
    </row>
    <row r="4" spans="1:16" ht="30" x14ac:dyDescent="0.25">
      <c r="A4" s="127" t="s">
        <v>22</v>
      </c>
      <c r="B4" s="128"/>
      <c r="C4" s="129"/>
      <c r="D4" s="128"/>
      <c r="E4" s="130">
        <v>20</v>
      </c>
      <c r="F4" s="131">
        <v>20</v>
      </c>
      <c r="G4" s="131">
        <v>20</v>
      </c>
      <c r="H4" s="131">
        <v>20</v>
      </c>
      <c r="I4" s="131">
        <v>40</v>
      </c>
      <c r="J4" s="132">
        <v>20</v>
      </c>
      <c r="K4" s="131">
        <v>20</v>
      </c>
      <c r="L4" s="131">
        <v>20</v>
      </c>
      <c r="M4" s="131">
        <v>20</v>
      </c>
      <c r="O4" s="133"/>
      <c r="P4" s="126"/>
    </row>
    <row r="5" spans="1:16" ht="30" x14ac:dyDescent="0.25">
      <c r="A5" s="127" t="s">
        <v>23</v>
      </c>
      <c r="B5" s="128"/>
      <c r="C5" s="129"/>
      <c r="D5" s="128"/>
      <c r="E5" s="131">
        <v>40</v>
      </c>
      <c r="F5" s="134"/>
      <c r="G5" s="134"/>
      <c r="H5" s="131">
        <v>40</v>
      </c>
      <c r="I5" s="135"/>
      <c r="J5" s="128"/>
      <c r="K5" s="131">
        <v>40</v>
      </c>
      <c r="L5" s="136"/>
      <c r="M5" s="136"/>
    </row>
    <row r="6" spans="1:16" ht="25.5" customHeight="1" x14ac:dyDescent="0.25">
      <c r="A6" s="127" t="s">
        <v>24</v>
      </c>
      <c r="B6" s="128"/>
      <c r="C6" s="129"/>
      <c r="D6" s="128"/>
      <c r="E6" s="129"/>
      <c r="F6" s="128"/>
      <c r="G6" s="129"/>
      <c r="H6" s="128"/>
      <c r="I6" s="135"/>
      <c r="J6" s="137">
        <v>60</v>
      </c>
      <c r="K6" s="129"/>
      <c r="L6" s="136"/>
      <c r="M6" s="136"/>
    </row>
    <row r="7" spans="1:16" ht="45" x14ac:dyDescent="0.25">
      <c r="A7" s="127" t="s">
        <v>25</v>
      </c>
      <c r="B7" s="128"/>
      <c r="C7" s="129"/>
      <c r="D7" s="128"/>
      <c r="E7" s="129"/>
      <c r="F7" s="128"/>
      <c r="G7" s="137">
        <v>60</v>
      </c>
      <c r="H7" s="128"/>
      <c r="I7" s="135"/>
      <c r="J7" s="128"/>
      <c r="K7" s="129"/>
      <c r="L7" s="136"/>
      <c r="M7" s="131">
        <v>60</v>
      </c>
    </row>
    <row r="8" spans="1:16" ht="45" x14ac:dyDescent="0.25">
      <c r="A8" s="127" t="s">
        <v>26</v>
      </c>
      <c r="B8" s="128"/>
      <c r="C8" s="129"/>
      <c r="D8" s="128"/>
      <c r="E8" s="129"/>
      <c r="F8" s="137">
        <v>60</v>
      </c>
      <c r="G8" s="129"/>
      <c r="H8" s="128"/>
      <c r="I8" s="137">
        <v>40</v>
      </c>
      <c r="J8" s="128"/>
      <c r="K8" s="129"/>
      <c r="L8" s="131">
        <v>60</v>
      </c>
      <c r="M8" s="136"/>
    </row>
    <row r="9" spans="1:16" ht="30" x14ac:dyDescent="0.25">
      <c r="A9" s="127" t="s">
        <v>27</v>
      </c>
      <c r="B9" s="128"/>
      <c r="C9" s="129"/>
      <c r="D9" s="128"/>
      <c r="E9" s="137">
        <v>20</v>
      </c>
      <c r="F9" s="128"/>
      <c r="G9" s="129"/>
      <c r="H9" s="137">
        <v>40</v>
      </c>
      <c r="I9" s="135"/>
      <c r="J9" s="128"/>
      <c r="K9" s="131">
        <v>40</v>
      </c>
      <c r="L9" s="136"/>
      <c r="M9" s="136"/>
    </row>
    <row r="10" spans="1:16" ht="30" x14ac:dyDescent="0.25">
      <c r="A10" s="127" t="s">
        <v>28</v>
      </c>
      <c r="B10" s="128"/>
      <c r="C10" s="129"/>
      <c r="D10" s="128"/>
      <c r="E10" s="137">
        <v>20</v>
      </c>
      <c r="F10" s="128"/>
      <c r="G10" s="137">
        <v>20</v>
      </c>
      <c r="H10" s="128"/>
      <c r="I10" s="135"/>
      <c r="J10" s="137">
        <v>20</v>
      </c>
      <c r="K10" s="129"/>
      <c r="L10" s="136"/>
      <c r="M10" s="131">
        <v>20</v>
      </c>
    </row>
    <row r="11" spans="1:16" x14ac:dyDescent="0.25">
      <c r="A11" s="127" t="s">
        <v>29</v>
      </c>
      <c r="B11" s="128"/>
      <c r="C11" s="129"/>
      <c r="D11" s="128"/>
      <c r="E11" s="138"/>
      <c r="F11" s="137">
        <v>20</v>
      </c>
      <c r="G11" s="138"/>
      <c r="H11" s="139"/>
      <c r="I11" s="137">
        <v>20</v>
      </c>
      <c r="J11" s="139"/>
      <c r="K11" s="138"/>
      <c r="L11" s="140">
        <v>20</v>
      </c>
      <c r="M11" s="141"/>
    </row>
    <row r="12" spans="1:16" x14ac:dyDescent="0.25">
      <c r="A12" s="142" t="s">
        <v>6</v>
      </c>
      <c r="B12" s="143"/>
      <c r="C12" s="144"/>
      <c r="D12" s="143"/>
      <c r="E12" s="131">
        <f t="shared" ref="E12:M12" si="0">SUM(E4:E11)</f>
        <v>100</v>
      </c>
      <c r="F12" s="131">
        <f t="shared" si="0"/>
        <v>100</v>
      </c>
      <c r="G12" s="131">
        <f t="shared" si="0"/>
        <v>100</v>
      </c>
      <c r="H12" s="131">
        <f t="shared" si="0"/>
        <v>100</v>
      </c>
      <c r="I12" s="131">
        <f t="shared" si="0"/>
        <v>100</v>
      </c>
      <c r="J12" s="131">
        <f t="shared" si="0"/>
        <v>100</v>
      </c>
      <c r="K12" s="131">
        <f t="shared" si="0"/>
        <v>100</v>
      </c>
      <c r="L12" s="131">
        <f t="shared" si="0"/>
        <v>100</v>
      </c>
      <c r="M12" s="131">
        <f t="shared" si="0"/>
        <v>100</v>
      </c>
    </row>
    <row r="14" spans="1:16" x14ac:dyDescent="0.25">
      <c r="B14" s="145"/>
    </row>
    <row r="15" spans="1:16" x14ac:dyDescent="0.25">
      <c r="A15" s="334" t="s">
        <v>126</v>
      </c>
      <c r="B15" s="436">
        <v>99345757.459999993</v>
      </c>
    </row>
    <row r="16" spans="1:16" x14ac:dyDescent="0.25">
      <c r="A16" s="334" t="s">
        <v>127</v>
      </c>
      <c r="B16" s="437">
        <f>B15/12</f>
        <v>8278813.1216666661</v>
      </c>
    </row>
    <row r="17" spans="1:11" x14ac:dyDescent="0.25">
      <c r="A17" s="334" t="s">
        <v>128</v>
      </c>
      <c r="B17" s="436">
        <f>B15*5%</f>
        <v>4967287.8729999997</v>
      </c>
    </row>
    <row r="18" spans="1:11" x14ac:dyDescent="0.25">
      <c r="A18" s="334" t="s">
        <v>129</v>
      </c>
      <c r="B18" s="436">
        <f>B17/12</f>
        <v>413940.65608333331</v>
      </c>
    </row>
    <row r="19" spans="1:11" x14ac:dyDescent="0.25">
      <c r="A19" s="146"/>
      <c r="B19" s="147"/>
    </row>
    <row r="20" spans="1:11" ht="15.75" thickBot="1" x14ac:dyDescent="0.3">
      <c r="A20" s="148" t="s">
        <v>130</v>
      </c>
    </row>
    <row r="21" spans="1:11" x14ac:dyDescent="0.25">
      <c r="A21" s="149" t="s">
        <v>19</v>
      </c>
      <c r="B21" s="150">
        <v>42339</v>
      </c>
      <c r="C21" s="151">
        <v>42370</v>
      </c>
      <c r="D21" s="150">
        <v>42401</v>
      </c>
      <c r="E21" s="151">
        <v>42430</v>
      </c>
      <c r="F21" s="150">
        <v>42461</v>
      </c>
      <c r="G21" s="151">
        <v>42491</v>
      </c>
      <c r="H21" s="150">
        <v>42522</v>
      </c>
      <c r="I21" s="150">
        <v>42186</v>
      </c>
      <c r="J21" s="150">
        <v>42217</v>
      </c>
      <c r="K21" s="152" t="s">
        <v>131</v>
      </c>
    </row>
    <row r="22" spans="1:11" ht="30" x14ac:dyDescent="0.25">
      <c r="A22" s="153" t="s">
        <v>22</v>
      </c>
      <c r="B22" s="130">
        <v>82788.13</v>
      </c>
      <c r="C22" s="130">
        <f>B18*20%</f>
        <v>82788.131216666661</v>
      </c>
      <c r="D22" s="130">
        <f>B18*20%</f>
        <v>82788.131216666661</v>
      </c>
      <c r="E22" s="130">
        <v>82788</v>
      </c>
      <c r="F22" s="130">
        <f>B18*40%</f>
        <v>165576.26243333332</v>
      </c>
      <c r="G22" s="154">
        <v>82788</v>
      </c>
      <c r="H22" s="154">
        <v>82788</v>
      </c>
      <c r="I22" s="154">
        <v>82788</v>
      </c>
      <c r="J22" s="154">
        <v>82788</v>
      </c>
      <c r="K22" s="155">
        <v>1</v>
      </c>
    </row>
    <row r="23" spans="1:11" ht="30" x14ac:dyDescent="0.25">
      <c r="A23" s="153" t="s">
        <v>23</v>
      </c>
      <c r="B23" s="130">
        <v>165576.26243333332</v>
      </c>
      <c r="C23" s="134"/>
      <c r="D23" s="134"/>
      <c r="E23" s="130">
        <v>165576.26243333332</v>
      </c>
      <c r="F23" s="135"/>
      <c r="G23" s="128"/>
      <c r="H23" s="130">
        <v>165576.26243333332</v>
      </c>
      <c r="I23" s="136"/>
      <c r="J23" s="136"/>
      <c r="K23" s="155">
        <v>0.9</v>
      </c>
    </row>
    <row r="24" spans="1:11" x14ac:dyDescent="0.25">
      <c r="A24" s="153" t="s">
        <v>24</v>
      </c>
      <c r="B24" s="129"/>
      <c r="C24" s="128"/>
      <c r="D24" s="129"/>
      <c r="E24" s="128"/>
      <c r="F24" s="135"/>
      <c r="G24" s="156">
        <f>B18*60%</f>
        <v>248364.39364999998</v>
      </c>
      <c r="H24" s="129"/>
      <c r="I24" s="136"/>
      <c r="J24" s="136"/>
      <c r="K24" s="155">
        <v>1</v>
      </c>
    </row>
    <row r="25" spans="1:11" ht="45" x14ac:dyDescent="0.25">
      <c r="A25" s="153" t="s">
        <v>25</v>
      </c>
      <c r="B25" s="129"/>
      <c r="C25" s="128"/>
      <c r="D25" s="156">
        <v>248364</v>
      </c>
      <c r="E25" s="128"/>
      <c r="F25" s="135"/>
      <c r="G25" s="128"/>
      <c r="H25" s="129"/>
      <c r="I25" s="136"/>
      <c r="J25" s="130">
        <v>248364</v>
      </c>
      <c r="K25" s="155">
        <v>0.9</v>
      </c>
    </row>
    <row r="26" spans="1:11" ht="45" x14ac:dyDescent="0.25">
      <c r="A26" s="153" t="s">
        <v>26</v>
      </c>
      <c r="B26" s="129"/>
      <c r="C26" s="156">
        <v>248364</v>
      </c>
      <c r="D26" s="129"/>
      <c r="E26" s="128"/>
      <c r="F26" s="130">
        <v>165576.26243333332</v>
      </c>
      <c r="G26" s="128"/>
      <c r="H26" s="129"/>
      <c r="I26" s="156">
        <v>248364</v>
      </c>
      <c r="J26" s="136"/>
      <c r="K26" s="155">
        <v>0.75</v>
      </c>
    </row>
    <row r="27" spans="1:11" ht="30" x14ac:dyDescent="0.25">
      <c r="A27" s="153" t="s">
        <v>27</v>
      </c>
      <c r="B27" s="154">
        <v>82788</v>
      </c>
      <c r="C27" s="128"/>
      <c r="D27" s="129"/>
      <c r="E27" s="130">
        <v>165576.26243333332</v>
      </c>
      <c r="F27" s="135"/>
      <c r="G27" s="128"/>
      <c r="H27" s="130">
        <v>165576.26243333332</v>
      </c>
      <c r="I27" s="136"/>
      <c r="J27" s="136"/>
      <c r="K27" s="155">
        <v>0.75</v>
      </c>
    </row>
    <row r="28" spans="1:11" ht="45" x14ac:dyDescent="0.25">
      <c r="A28" s="153" t="s">
        <v>28</v>
      </c>
      <c r="B28" s="154">
        <v>82788</v>
      </c>
      <c r="C28" s="128"/>
      <c r="D28" s="154">
        <v>82788</v>
      </c>
      <c r="E28" s="128"/>
      <c r="F28" s="135"/>
      <c r="G28" s="154">
        <v>82788</v>
      </c>
      <c r="H28" s="129"/>
      <c r="I28" s="136"/>
      <c r="J28" s="154">
        <v>82788</v>
      </c>
      <c r="K28" s="157" t="s">
        <v>132</v>
      </c>
    </row>
    <row r="29" spans="1:11" x14ac:dyDescent="0.25">
      <c r="A29" s="153" t="s">
        <v>29</v>
      </c>
      <c r="B29" s="138"/>
      <c r="C29" s="154">
        <v>82788</v>
      </c>
      <c r="D29" s="138"/>
      <c r="E29" s="139"/>
      <c r="F29" s="154">
        <v>82788</v>
      </c>
      <c r="G29" s="139"/>
      <c r="H29" s="138"/>
      <c r="I29" s="154">
        <v>82788</v>
      </c>
      <c r="J29" s="136"/>
      <c r="K29" s="155">
        <v>0.8</v>
      </c>
    </row>
    <row r="30" spans="1:11" ht="15.75" thickBot="1" x14ac:dyDescent="0.3">
      <c r="A30" s="158" t="s">
        <v>6</v>
      </c>
      <c r="B30" s="159">
        <f t="shared" ref="B30:J30" si="1">SUM(B22:B29)</f>
        <v>413940.39243333333</v>
      </c>
      <c r="C30" s="159">
        <f t="shared" si="1"/>
        <v>413940.13121666666</v>
      </c>
      <c r="D30" s="159">
        <f t="shared" si="1"/>
        <v>413940.13121666666</v>
      </c>
      <c r="E30" s="159">
        <f t="shared" si="1"/>
        <v>413940.52486666664</v>
      </c>
      <c r="F30" s="159">
        <f t="shared" si="1"/>
        <v>413940.52486666664</v>
      </c>
      <c r="G30" s="159">
        <f t="shared" si="1"/>
        <v>413940.39364999998</v>
      </c>
      <c r="H30" s="159">
        <f t="shared" si="1"/>
        <v>413940.52486666664</v>
      </c>
      <c r="I30" s="159">
        <f t="shared" si="1"/>
        <v>413940</v>
      </c>
      <c r="J30" s="159">
        <f t="shared" si="1"/>
        <v>413940</v>
      </c>
      <c r="K30" s="160"/>
    </row>
  </sheetData>
  <mergeCells count="2">
    <mergeCell ref="A2:M2"/>
    <mergeCell ref="O2:P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R17"/>
  <sheetViews>
    <sheetView showGridLines="0" view="pageBreakPreview" zoomScale="90" zoomScaleNormal="100" zoomScaleSheetLayoutView="90" workbookViewId="0">
      <selection activeCell="A6" sqref="A6"/>
    </sheetView>
  </sheetViews>
  <sheetFormatPr defaultColWidth="8.85546875" defaultRowHeight="15" x14ac:dyDescent="0.25"/>
  <cols>
    <col min="1" max="1" width="32.85546875" customWidth="1"/>
    <col min="2" max="2" width="9.85546875" customWidth="1"/>
    <col min="3" max="3" width="7.42578125" customWidth="1"/>
    <col min="4" max="4" width="7.140625" bestFit="1" customWidth="1"/>
    <col min="5" max="5" width="7.42578125" customWidth="1"/>
    <col min="6" max="6" width="8.140625" bestFit="1" customWidth="1"/>
    <col min="7" max="7" width="7.42578125" customWidth="1"/>
    <col min="8" max="8" width="7.140625" bestFit="1" customWidth="1"/>
    <col min="9" max="9" width="9.85546875" customWidth="1"/>
    <col min="10" max="10" width="7.140625" bestFit="1" customWidth="1"/>
    <col min="11" max="11" width="7.42578125" customWidth="1"/>
    <col min="12" max="12" width="7.140625" bestFit="1" customWidth="1"/>
    <col min="13" max="13" width="7.42578125" customWidth="1"/>
    <col min="14" max="14" width="7.140625" bestFit="1" customWidth="1"/>
    <col min="15" max="15" width="7.42578125" customWidth="1"/>
    <col min="16" max="16" width="7.140625" bestFit="1" customWidth="1"/>
    <col min="17" max="17" width="11.140625" customWidth="1"/>
    <col min="18" max="18" width="7.140625" bestFit="1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5.75" x14ac:dyDescent="0.25">
      <c r="A5" s="601" t="s">
        <v>211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</row>
    <row r="6" spans="1:18" ht="26.25" customHeight="1" x14ac:dyDescent="0.25">
      <c r="A6" s="439" t="s">
        <v>12</v>
      </c>
      <c r="B6" s="440" t="s">
        <v>13</v>
      </c>
      <c r="C6" s="439" t="s">
        <v>260</v>
      </c>
      <c r="D6" s="441" t="s">
        <v>1</v>
      </c>
      <c r="E6" s="439" t="s">
        <v>261</v>
      </c>
      <c r="F6" s="441" t="s">
        <v>1</v>
      </c>
      <c r="G6" s="439" t="s">
        <v>2</v>
      </c>
      <c r="H6" s="441" t="s">
        <v>1</v>
      </c>
      <c r="I6" s="442" t="s">
        <v>140</v>
      </c>
      <c r="J6" s="442" t="s">
        <v>1</v>
      </c>
      <c r="K6" s="439" t="s">
        <v>3</v>
      </c>
      <c r="L6" s="441" t="s">
        <v>1</v>
      </c>
      <c r="M6" s="439" t="s">
        <v>4</v>
      </c>
      <c r="N6" s="441" t="s">
        <v>1</v>
      </c>
      <c r="O6" s="439" t="s">
        <v>5</v>
      </c>
      <c r="P6" s="441" t="s">
        <v>1</v>
      </c>
      <c r="Q6" s="442" t="s">
        <v>140</v>
      </c>
      <c r="R6" s="442" t="s">
        <v>1</v>
      </c>
    </row>
    <row r="7" spans="1:18" x14ac:dyDescent="0.25">
      <c r="A7" s="438" t="s">
        <v>151</v>
      </c>
      <c r="B7" s="311">
        <v>6720</v>
      </c>
      <c r="C7" s="305">
        <v>4709</v>
      </c>
      <c r="D7" s="309">
        <f>((C7/$B7))-1</f>
        <v>-0.29925595238095237</v>
      </c>
      <c r="E7" s="305">
        <v>3946</v>
      </c>
      <c r="F7" s="309">
        <f>((E7/$B7))-1</f>
        <v>-0.41279761904761902</v>
      </c>
      <c r="G7" s="305">
        <v>3292</v>
      </c>
      <c r="H7" s="309">
        <f>((G7/$B7))-1</f>
        <v>-0.51011904761904758</v>
      </c>
      <c r="I7" s="307">
        <f>C7+E7+G7</f>
        <v>11947</v>
      </c>
      <c r="J7" s="314">
        <f>((I7/(3*$B7)))-1</f>
        <v>-0.40739087301587307</v>
      </c>
      <c r="K7" s="305">
        <v>3292</v>
      </c>
      <c r="L7" s="309">
        <f>((K7/$B7))-1</f>
        <v>-0.51011904761904758</v>
      </c>
      <c r="M7" s="305">
        <v>4059</v>
      </c>
      <c r="N7" s="309">
        <f>((M7/$B7))-1</f>
        <v>-0.39598214285714284</v>
      </c>
      <c r="O7" s="305">
        <v>4614</v>
      </c>
      <c r="P7" s="309">
        <f>((O7/$B7))-1</f>
        <v>-0.31339285714285714</v>
      </c>
      <c r="Q7" s="307">
        <f t="shared" ref="Q7:Q14" si="0">K7+M7+O7</f>
        <v>11965</v>
      </c>
      <c r="R7" s="314">
        <f>((Q7/(3*$B7)))-1</f>
        <v>-0.40649801587301593</v>
      </c>
    </row>
    <row r="8" spans="1:18" x14ac:dyDescent="0.25">
      <c r="A8" s="438" t="s">
        <v>152</v>
      </c>
      <c r="B8" s="311">
        <v>2080</v>
      </c>
      <c r="C8" s="305">
        <v>1162</v>
      </c>
      <c r="D8" s="309">
        <f>((C8/$B8))-1</f>
        <v>-0.44134615384615383</v>
      </c>
      <c r="E8" s="305">
        <v>1824</v>
      </c>
      <c r="F8" s="309">
        <f>((E8/$B8))-1</f>
        <v>-0.12307692307692308</v>
      </c>
      <c r="G8" s="305">
        <v>1746</v>
      </c>
      <c r="H8" s="309">
        <f>((G8/$B8))-1</f>
        <v>-0.16057692307692306</v>
      </c>
      <c r="I8" s="307">
        <f t="shared" ref="I8:I14" si="1">C8+E8+G8</f>
        <v>4732</v>
      </c>
      <c r="J8" s="314">
        <f>((I8/(3*$B8)))-1</f>
        <v>-0.2416666666666667</v>
      </c>
      <c r="K8" s="305">
        <v>1570</v>
      </c>
      <c r="L8" s="309">
        <f>((K8/$B8))-1</f>
        <v>-0.24519230769230771</v>
      </c>
      <c r="M8" s="305">
        <v>1489</v>
      </c>
      <c r="N8" s="309">
        <f>((M8/$B8))-1</f>
        <v>-0.28413461538461537</v>
      </c>
      <c r="O8" s="305">
        <v>1186</v>
      </c>
      <c r="P8" s="309">
        <f>((O8/$B8))-1</f>
        <v>-0.42980769230769234</v>
      </c>
      <c r="Q8" s="307">
        <f t="shared" si="0"/>
        <v>4245</v>
      </c>
      <c r="R8" s="314">
        <f>((Q8/(3*$B8)))-1</f>
        <v>-0.31971153846153844</v>
      </c>
    </row>
    <row r="9" spans="1:18" x14ac:dyDescent="0.25">
      <c r="A9" s="438" t="s">
        <v>164</v>
      </c>
      <c r="B9" s="311">
        <v>780</v>
      </c>
      <c r="C9" s="305">
        <v>1217</v>
      </c>
      <c r="D9" s="309">
        <f t="shared" ref="D9:D14" si="2">((C9/$B9))-1</f>
        <v>0.56025641025641026</v>
      </c>
      <c r="E9" s="305">
        <v>1165</v>
      </c>
      <c r="F9" s="309">
        <f t="shared" ref="F9:F14" si="3">((E9/$B9))-1</f>
        <v>0.49358974358974361</v>
      </c>
      <c r="G9" s="305">
        <v>1118</v>
      </c>
      <c r="H9" s="309">
        <f t="shared" ref="H9:H14" si="4">((G9/$B9))-1</f>
        <v>0.43333333333333335</v>
      </c>
      <c r="I9" s="307">
        <f t="shared" si="1"/>
        <v>3500</v>
      </c>
      <c r="J9" s="314">
        <f>((I9/(3*$B9)))-1</f>
        <v>0.49572649572649574</v>
      </c>
      <c r="K9" s="305">
        <v>600</v>
      </c>
      <c r="L9" s="309">
        <f t="shared" ref="L9:L14" si="5">((K9/$B9))-1</f>
        <v>-0.23076923076923073</v>
      </c>
      <c r="M9" s="305">
        <v>749</v>
      </c>
      <c r="N9" s="309">
        <f t="shared" ref="N9:N14" si="6">((M9/$B9))-1</f>
        <v>-3.9743589743589713E-2</v>
      </c>
      <c r="O9" s="305">
        <v>517</v>
      </c>
      <c r="P9" s="309">
        <f t="shared" ref="P9:P13" si="7">((O9/$B9))-1</f>
        <v>-0.3371794871794872</v>
      </c>
      <c r="Q9" s="307">
        <f t="shared" si="0"/>
        <v>1866</v>
      </c>
      <c r="R9" s="314">
        <f>((Q9/(3*$B9)))-1</f>
        <v>-0.20256410256410251</v>
      </c>
    </row>
    <row r="10" spans="1:18" ht="24" x14ac:dyDescent="0.25">
      <c r="A10" s="438" t="s">
        <v>181</v>
      </c>
      <c r="B10" s="311">
        <v>416</v>
      </c>
      <c r="C10" s="305">
        <v>142</v>
      </c>
      <c r="D10" s="309">
        <f t="shared" si="2"/>
        <v>-0.65865384615384615</v>
      </c>
      <c r="E10" s="305">
        <v>234</v>
      </c>
      <c r="F10" s="309">
        <f t="shared" si="3"/>
        <v>-0.4375</v>
      </c>
      <c r="G10" s="305">
        <v>402</v>
      </c>
      <c r="H10" s="309">
        <f t="shared" si="4"/>
        <v>-3.3653846153846145E-2</v>
      </c>
      <c r="I10" s="307">
        <f t="shared" si="1"/>
        <v>778</v>
      </c>
      <c r="J10" s="314">
        <f t="shared" ref="J10:J14" si="8">((I10/(3*$B10)))-1</f>
        <v>-0.3766025641025641</v>
      </c>
      <c r="K10" s="305">
        <v>199</v>
      </c>
      <c r="L10" s="309">
        <f t="shared" si="5"/>
        <v>-0.52163461538461542</v>
      </c>
      <c r="M10" s="305">
        <v>41</v>
      </c>
      <c r="N10" s="309">
        <f t="shared" si="6"/>
        <v>-0.90144230769230771</v>
      </c>
      <c r="O10" s="305">
        <v>10</v>
      </c>
      <c r="P10" s="309">
        <f t="shared" si="7"/>
        <v>-0.97596153846153844</v>
      </c>
      <c r="Q10" s="307">
        <f t="shared" si="0"/>
        <v>250</v>
      </c>
      <c r="R10" s="314">
        <f t="shared" ref="R10:R15" si="9">((Q10/(3*$B10)))-1</f>
        <v>-0.79967948717948723</v>
      </c>
    </row>
    <row r="11" spans="1:18" ht="24" x14ac:dyDescent="0.25">
      <c r="A11" s="438" t="s">
        <v>170</v>
      </c>
      <c r="B11" s="311">
        <v>2496</v>
      </c>
      <c r="C11" s="305">
        <v>590</v>
      </c>
      <c r="D11" s="309">
        <f t="shared" si="2"/>
        <v>-0.76362179487179493</v>
      </c>
      <c r="E11" s="305">
        <v>939</v>
      </c>
      <c r="F11" s="309">
        <f t="shared" si="3"/>
        <v>-0.62379807692307687</v>
      </c>
      <c r="G11" s="305">
        <v>1916</v>
      </c>
      <c r="H11" s="309">
        <f t="shared" si="4"/>
        <v>-0.23237179487179482</v>
      </c>
      <c r="I11" s="307">
        <f t="shared" si="1"/>
        <v>3445</v>
      </c>
      <c r="J11" s="314">
        <f t="shared" si="8"/>
        <v>-0.53993055555555558</v>
      </c>
      <c r="K11" s="305">
        <v>750</v>
      </c>
      <c r="L11" s="309">
        <f t="shared" si="5"/>
        <v>-0.69951923076923084</v>
      </c>
      <c r="M11" s="305">
        <v>92</v>
      </c>
      <c r="N11" s="309">
        <f t="shared" si="6"/>
        <v>-0.96314102564102566</v>
      </c>
      <c r="O11" s="305">
        <v>7</v>
      </c>
      <c r="P11" s="309">
        <f t="shared" si="7"/>
        <v>-0.99719551282051277</v>
      </c>
      <c r="Q11" s="307">
        <f t="shared" si="0"/>
        <v>849</v>
      </c>
      <c r="R11" s="314">
        <f t="shared" si="9"/>
        <v>-0.88661858974358976</v>
      </c>
    </row>
    <row r="12" spans="1:18" s="315" customFormat="1" x14ac:dyDescent="0.25">
      <c r="A12" s="447" t="s">
        <v>171</v>
      </c>
      <c r="B12" s="332">
        <v>263</v>
      </c>
      <c r="C12" s="443">
        <v>104</v>
      </c>
      <c r="D12" s="448">
        <f t="shared" si="2"/>
        <v>-0.6045627376425855</v>
      </c>
      <c r="E12" s="443">
        <v>0</v>
      </c>
      <c r="F12" s="448">
        <f t="shared" si="3"/>
        <v>-1</v>
      </c>
      <c r="G12" s="443">
        <v>154</v>
      </c>
      <c r="H12" s="448">
        <f t="shared" si="4"/>
        <v>-0.4144486692015209</v>
      </c>
      <c r="I12" s="307">
        <f t="shared" si="1"/>
        <v>258</v>
      </c>
      <c r="J12" s="314">
        <f t="shared" si="8"/>
        <v>-0.6730038022813688</v>
      </c>
      <c r="K12" s="443">
        <v>141</v>
      </c>
      <c r="L12" s="448">
        <f t="shared" si="5"/>
        <v>-0.46387832699619769</v>
      </c>
      <c r="M12" s="443">
        <v>190</v>
      </c>
      <c r="N12" s="448">
        <f t="shared" si="6"/>
        <v>-0.27756653992395441</v>
      </c>
      <c r="O12" s="443">
        <v>145</v>
      </c>
      <c r="P12" s="448">
        <f t="shared" si="7"/>
        <v>-0.4486692015209125</v>
      </c>
      <c r="Q12" s="307">
        <f t="shared" si="0"/>
        <v>476</v>
      </c>
      <c r="R12" s="314">
        <f t="shared" si="9"/>
        <v>-0.39670468948035487</v>
      </c>
    </row>
    <row r="13" spans="1:18" s="315" customFormat="1" x14ac:dyDescent="0.25">
      <c r="A13" s="447" t="s">
        <v>172</v>
      </c>
      <c r="B13" s="332">
        <v>526</v>
      </c>
      <c r="C13" s="443">
        <v>98</v>
      </c>
      <c r="D13" s="448">
        <f t="shared" si="2"/>
        <v>-0.81368821292775662</v>
      </c>
      <c r="E13" s="443">
        <v>130</v>
      </c>
      <c r="F13" s="448">
        <f t="shared" si="3"/>
        <v>-0.75285171102661597</v>
      </c>
      <c r="G13" s="443">
        <v>130</v>
      </c>
      <c r="H13" s="448">
        <f t="shared" si="4"/>
        <v>-0.75285171102661597</v>
      </c>
      <c r="I13" s="307">
        <f t="shared" si="1"/>
        <v>358</v>
      </c>
      <c r="J13" s="314">
        <f t="shared" si="8"/>
        <v>-0.77313054499366285</v>
      </c>
      <c r="K13" s="443">
        <v>121</v>
      </c>
      <c r="L13" s="448">
        <f t="shared" si="5"/>
        <v>-0.76996197718631176</v>
      </c>
      <c r="M13" s="443">
        <v>101</v>
      </c>
      <c r="N13" s="448">
        <f t="shared" si="6"/>
        <v>-0.80798479087452468</v>
      </c>
      <c r="O13" s="443">
        <v>2</v>
      </c>
      <c r="P13" s="448">
        <f t="shared" si="7"/>
        <v>-0.99619771863117867</v>
      </c>
      <c r="Q13" s="307">
        <f t="shared" si="0"/>
        <v>224</v>
      </c>
      <c r="R13" s="314">
        <f t="shared" si="9"/>
        <v>-0.85804816223067171</v>
      </c>
    </row>
    <row r="14" spans="1:18" x14ac:dyDescent="0.25">
      <c r="A14" s="438" t="s">
        <v>173</v>
      </c>
      <c r="B14" s="311">
        <v>166</v>
      </c>
      <c r="C14" s="305">
        <v>66</v>
      </c>
      <c r="D14" s="309">
        <f t="shared" si="2"/>
        <v>-0.60240963855421681</v>
      </c>
      <c r="E14" s="305">
        <v>62</v>
      </c>
      <c r="F14" s="309">
        <f t="shared" si="3"/>
        <v>-0.62650602409638556</v>
      </c>
      <c r="G14" s="305">
        <v>57</v>
      </c>
      <c r="H14" s="309">
        <f t="shared" si="4"/>
        <v>-0.65662650602409633</v>
      </c>
      <c r="I14" s="307">
        <f t="shared" si="1"/>
        <v>185</v>
      </c>
      <c r="J14" s="314">
        <f t="shared" si="8"/>
        <v>-0.62851405622489964</v>
      </c>
      <c r="K14" s="305">
        <v>166</v>
      </c>
      <c r="L14" s="309">
        <f t="shared" si="5"/>
        <v>0</v>
      </c>
      <c r="M14" s="305">
        <v>156</v>
      </c>
      <c r="N14" s="309">
        <f t="shared" si="6"/>
        <v>-6.0240963855421659E-2</v>
      </c>
      <c r="O14" s="305">
        <v>186</v>
      </c>
      <c r="P14" s="309">
        <f>((O14/$B14))-1</f>
        <v>0.12048192771084332</v>
      </c>
      <c r="Q14" s="307">
        <f t="shared" si="0"/>
        <v>508</v>
      </c>
      <c r="R14" s="314">
        <f>((Q14/(3*$B14)))-1</f>
        <v>2.008032128514059E-2</v>
      </c>
    </row>
    <row r="15" spans="1:18" x14ac:dyDescent="0.25">
      <c r="A15" s="444" t="s">
        <v>6</v>
      </c>
      <c r="B15" s="311">
        <f>SUM(B7:B14)</f>
        <v>13447</v>
      </c>
      <c r="C15" s="445">
        <f>SUM(C7:C14)</f>
        <v>8088</v>
      </c>
      <c r="D15" s="309">
        <f>((C15/$B15))-1</f>
        <v>-0.39852755261396589</v>
      </c>
      <c r="E15" s="445">
        <f>SUM(E7:E14)</f>
        <v>8300</v>
      </c>
      <c r="F15" s="309">
        <f>((E15/$B15))-1</f>
        <v>-0.38276195433925786</v>
      </c>
      <c r="G15" s="445">
        <f>SUM(G7:G14)</f>
        <v>8815</v>
      </c>
      <c r="H15" s="309">
        <f>((G15/$B15))-1</f>
        <v>-0.34446344909645277</v>
      </c>
      <c r="I15" s="446">
        <f>C15+E15+G15</f>
        <v>25203</v>
      </c>
      <c r="J15" s="314">
        <f>((I15/(3*$B15)))-1</f>
        <v>-0.37525098534989221</v>
      </c>
      <c r="K15" s="445">
        <f>SUM(K7:K14)</f>
        <v>6839</v>
      </c>
      <c r="L15" s="309">
        <f>((K15/$B15))-1</f>
        <v>-0.49141072358146798</v>
      </c>
      <c r="M15" s="445">
        <f>SUM(M7:M14)</f>
        <v>6877</v>
      </c>
      <c r="N15" s="309">
        <f>((M15/$B15))-1</f>
        <v>-0.48858481445675617</v>
      </c>
      <c r="O15" s="445">
        <f>SUM(O7:O14)</f>
        <v>6667</v>
      </c>
      <c r="P15" s="309">
        <f>((O15/$B15))-1</f>
        <v>-0.50420168067226889</v>
      </c>
      <c r="Q15" s="446">
        <f>K15+M15+O15</f>
        <v>20383</v>
      </c>
      <c r="R15" s="314">
        <f t="shared" si="9"/>
        <v>-0.49473240623683101</v>
      </c>
    </row>
    <row r="17" spans="1:1" ht="15.75" x14ac:dyDescent="0.25">
      <c r="A17" s="9"/>
    </row>
  </sheetData>
  <mergeCells count="3">
    <mergeCell ref="A5:R5"/>
    <mergeCell ref="A2:R2"/>
    <mergeCell ref="A3:R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&amp;L&amp;12Fonte: Sistema WEBSAASS / SMS&amp;R&amp;12pag.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R16"/>
  <sheetViews>
    <sheetView showGridLines="0" view="pageBreakPreview" zoomScale="90" zoomScaleNormal="100" zoomScaleSheetLayoutView="90" workbookViewId="0">
      <selection activeCell="A6" sqref="A6"/>
    </sheetView>
  </sheetViews>
  <sheetFormatPr defaultColWidth="8.85546875" defaultRowHeight="15" x14ac:dyDescent="0.25"/>
  <cols>
    <col min="1" max="1" width="35" customWidth="1"/>
    <col min="2" max="3" width="9" bestFit="1" customWidth="1"/>
    <col min="4" max="4" width="7.140625" bestFit="1" customWidth="1"/>
    <col min="5" max="5" width="9" bestFit="1" customWidth="1"/>
    <col min="6" max="6" width="7.140625" bestFit="1" customWidth="1"/>
    <col min="7" max="7" width="9" bestFit="1" customWidth="1"/>
    <col min="8" max="8" width="8.140625" bestFit="1" customWidth="1"/>
    <col min="9" max="9" width="9.7109375" customWidth="1"/>
    <col min="10" max="10" width="7.140625" bestFit="1" customWidth="1"/>
    <col min="11" max="11" width="9" bestFit="1" customWidth="1"/>
    <col min="12" max="12" width="8.140625" bestFit="1" customWidth="1"/>
    <col min="13" max="13" width="9" bestFit="1" customWidth="1"/>
    <col min="14" max="14" width="8.140625" bestFit="1" customWidth="1"/>
    <col min="15" max="15" width="9" bestFit="1" customWidth="1"/>
    <col min="16" max="16" width="7.140625" bestFit="1" customWidth="1"/>
    <col min="17" max="17" width="10.28515625" customWidth="1"/>
    <col min="18" max="18" width="7.140625" bestFit="1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5.75" x14ac:dyDescent="0.25">
      <c r="A5" s="603" t="s">
        <v>214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</row>
    <row r="6" spans="1:18" ht="24" x14ac:dyDescent="0.25">
      <c r="A6" s="439" t="s">
        <v>12</v>
      </c>
      <c r="B6" s="440" t="s">
        <v>13</v>
      </c>
      <c r="C6" s="439" t="str">
        <f>'UBS Vila Dalva'!C6</f>
        <v>JUL</v>
      </c>
      <c r="D6" s="441" t="str">
        <f>'UBS Vila Dalva'!D6</f>
        <v>%</v>
      </c>
      <c r="E6" s="439" t="str">
        <f>'UBS Vila Dalva'!E6</f>
        <v>AGO</v>
      </c>
      <c r="F6" s="441" t="str">
        <f>'UBS Vila Dalva'!F6</f>
        <v>%</v>
      </c>
      <c r="G6" s="439" t="str">
        <f>'UBS Vila Dalva'!G6</f>
        <v>SET</v>
      </c>
      <c r="H6" s="441" t="str">
        <f>'UBS Vila Dalva'!H6</f>
        <v>%</v>
      </c>
      <c r="I6" s="442" t="str">
        <f>'UBS Vila Dalva'!I6</f>
        <v>Trimestre</v>
      </c>
      <c r="J6" s="442" t="str">
        <f>'UBS Vila Dalva'!J6</f>
        <v>%</v>
      </c>
      <c r="K6" s="439" t="str">
        <f>'UBS Vila Dalva'!K6</f>
        <v>OUT</v>
      </c>
      <c r="L6" s="441" t="str">
        <f>'UBS Vila Dalva'!L6</f>
        <v>%</v>
      </c>
      <c r="M6" s="439" t="str">
        <f>'UBS Vila Dalva'!M6</f>
        <v>NOV</v>
      </c>
      <c r="N6" s="441" t="str">
        <f>'UBS Vila Dalva'!N6</f>
        <v>%</v>
      </c>
      <c r="O6" s="439" t="str">
        <f>'UBS Vila Dalva'!O6</f>
        <v>DEZ</v>
      </c>
      <c r="P6" s="441" t="str">
        <f>'UBS Vila Dalva'!P6</f>
        <v>%</v>
      </c>
      <c r="Q6" s="442" t="str">
        <f>'UBS Vila Dalva'!Q6</f>
        <v>Trimestre</v>
      </c>
      <c r="R6" s="442" t="str">
        <f>'UBS Vila Dalva'!R6</f>
        <v>%</v>
      </c>
    </row>
    <row r="7" spans="1:18" x14ac:dyDescent="0.25">
      <c r="A7" s="303" t="s">
        <v>151</v>
      </c>
      <c r="B7" s="311">
        <v>7200</v>
      </c>
      <c r="C7" s="305">
        <v>6223</v>
      </c>
      <c r="D7" s="309">
        <f>((C7/$B7))-1</f>
        <v>-0.13569444444444445</v>
      </c>
      <c r="E7" s="305">
        <v>6629</v>
      </c>
      <c r="F7" s="309">
        <f>((E7/$B7))-1</f>
        <v>-7.9305555555555518E-2</v>
      </c>
      <c r="G7" s="305">
        <v>6025</v>
      </c>
      <c r="H7" s="309">
        <f>((G7/$B7))-1</f>
        <v>-0.16319444444444442</v>
      </c>
      <c r="I7" s="307">
        <f t="shared" ref="I7:I15" si="0">C7+E7+G7</f>
        <v>18877</v>
      </c>
      <c r="J7" s="314">
        <f>((I7/(3*$B7)))-1</f>
        <v>-0.1260648148148148</v>
      </c>
      <c r="K7" s="305">
        <v>6658</v>
      </c>
      <c r="L7" s="309">
        <f>((K7/$B7))-1</f>
        <v>-7.5277777777777777E-2</v>
      </c>
      <c r="M7" s="305">
        <v>6672</v>
      </c>
      <c r="N7" s="309">
        <f>((M7/$B7))-1</f>
        <v>-7.3333333333333361E-2</v>
      </c>
      <c r="O7" s="305">
        <v>6627</v>
      </c>
      <c r="P7" s="309">
        <f>((O7/$B7))-1</f>
        <v>-7.9583333333333339E-2</v>
      </c>
      <c r="Q7" s="307">
        <f t="shared" ref="Q7:Q16" si="1">K7+M7+O7</f>
        <v>19957</v>
      </c>
      <c r="R7" s="314">
        <f>((Q7/(3*$B7)))-1</f>
        <v>-7.6064814814814863E-2</v>
      </c>
    </row>
    <row r="8" spans="1:18" x14ac:dyDescent="0.25">
      <c r="A8" s="303" t="s">
        <v>152</v>
      </c>
      <c r="B8" s="311">
        <v>2496</v>
      </c>
      <c r="C8" s="305">
        <v>2274</v>
      </c>
      <c r="D8" s="309">
        <f t="shared" ref="D8:D15" si="2">((C8/$B8))-1</f>
        <v>-8.8942307692307709E-2</v>
      </c>
      <c r="E8" s="305">
        <v>2859</v>
      </c>
      <c r="F8" s="309">
        <f t="shared" ref="F8:F15" si="3">((E8/$B8))-1</f>
        <v>0.14543269230769229</v>
      </c>
      <c r="G8" s="305">
        <v>1750</v>
      </c>
      <c r="H8" s="309">
        <f t="shared" ref="H8:H15" si="4">((G8/$B8))-1</f>
        <v>-0.29887820512820518</v>
      </c>
      <c r="I8" s="307">
        <f t="shared" si="0"/>
        <v>6883</v>
      </c>
      <c r="J8" s="314">
        <f t="shared" ref="J8:J15" si="5">((I8/(3*$B8)))-1</f>
        <v>-8.0795940170940161E-2</v>
      </c>
      <c r="K8" s="305">
        <v>2625</v>
      </c>
      <c r="L8" s="309">
        <f t="shared" ref="L8:L15" si="6">((K8/$B8))-1</f>
        <v>5.1682692307692291E-2</v>
      </c>
      <c r="M8" s="305">
        <v>2551</v>
      </c>
      <c r="N8" s="309">
        <f t="shared" ref="N8:N15" si="7">((M8/$B8))-1</f>
        <v>2.2035256410256387E-2</v>
      </c>
      <c r="O8" s="305">
        <v>2316</v>
      </c>
      <c r="P8" s="309">
        <f t="shared" ref="P8:P16" si="8">((O8/$B8))-1</f>
        <v>-7.2115384615384581E-2</v>
      </c>
      <c r="Q8" s="307">
        <f t="shared" si="1"/>
        <v>7492</v>
      </c>
      <c r="R8" s="314">
        <f t="shared" ref="R8:R15" si="9">((Q8/(3*$B8)))-1</f>
        <v>5.3418803418803229E-4</v>
      </c>
    </row>
    <row r="9" spans="1:18" x14ac:dyDescent="0.25">
      <c r="A9" s="303" t="s">
        <v>164</v>
      </c>
      <c r="B9" s="311">
        <v>936</v>
      </c>
      <c r="C9" s="305">
        <v>1484</v>
      </c>
      <c r="D9" s="309">
        <f t="shared" si="2"/>
        <v>0.58547008547008539</v>
      </c>
      <c r="E9" s="305">
        <v>1736</v>
      </c>
      <c r="F9" s="309">
        <f t="shared" si="3"/>
        <v>0.85470085470085477</v>
      </c>
      <c r="G9" s="305">
        <v>1485</v>
      </c>
      <c r="H9" s="309">
        <f t="shared" si="4"/>
        <v>0.58653846153846145</v>
      </c>
      <c r="I9" s="307">
        <f t="shared" si="0"/>
        <v>4705</v>
      </c>
      <c r="J9" s="314">
        <f t="shared" si="5"/>
        <v>0.67556980056980054</v>
      </c>
      <c r="K9" s="305">
        <v>1182</v>
      </c>
      <c r="L9" s="309">
        <f t="shared" si="6"/>
        <v>0.26282051282051277</v>
      </c>
      <c r="M9" s="305">
        <v>1242</v>
      </c>
      <c r="N9" s="309">
        <f t="shared" si="7"/>
        <v>0.32692307692307687</v>
      </c>
      <c r="O9" s="305">
        <v>1105</v>
      </c>
      <c r="P9" s="309">
        <f t="shared" si="8"/>
        <v>0.18055555555555558</v>
      </c>
      <c r="Q9" s="307">
        <f t="shared" si="1"/>
        <v>3529</v>
      </c>
      <c r="R9" s="314">
        <f t="shared" si="9"/>
        <v>0.25676638176638167</v>
      </c>
    </row>
    <row r="10" spans="1:18" ht="24" x14ac:dyDescent="0.25">
      <c r="A10" s="438" t="s">
        <v>188</v>
      </c>
      <c r="B10" s="311">
        <v>416</v>
      </c>
      <c r="C10" s="305">
        <v>451</v>
      </c>
      <c r="D10" s="309">
        <f t="shared" si="2"/>
        <v>8.4134615384615419E-2</v>
      </c>
      <c r="E10" s="305">
        <v>505</v>
      </c>
      <c r="F10" s="309">
        <f t="shared" si="3"/>
        <v>0.21394230769230771</v>
      </c>
      <c r="G10" s="305">
        <v>432</v>
      </c>
      <c r="H10" s="309">
        <f t="shared" si="4"/>
        <v>3.8461538461538547E-2</v>
      </c>
      <c r="I10" s="307">
        <f>C10+E10+G10</f>
        <v>1388</v>
      </c>
      <c r="J10" s="314">
        <f t="shared" si="5"/>
        <v>0.11217948717948723</v>
      </c>
      <c r="K10" s="305">
        <v>416</v>
      </c>
      <c r="L10" s="309">
        <f t="shared" si="6"/>
        <v>0</v>
      </c>
      <c r="M10" s="305">
        <v>101</v>
      </c>
      <c r="N10" s="309">
        <f t="shared" si="7"/>
        <v>-0.75721153846153844</v>
      </c>
      <c r="O10" s="305">
        <v>73</v>
      </c>
      <c r="P10" s="309">
        <f t="shared" si="8"/>
        <v>-0.82451923076923084</v>
      </c>
      <c r="Q10" s="307">
        <f t="shared" si="1"/>
        <v>590</v>
      </c>
      <c r="R10" s="314">
        <f t="shared" si="9"/>
        <v>-0.52724358974358976</v>
      </c>
    </row>
    <row r="11" spans="1:18" x14ac:dyDescent="0.25">
      <c r="A11" s="438" t="s">
        <v>191</v>
      </c>
      <c r="B11" s="311">
        <v>1664</v>
      </c>
      <c r="C11" s="305">
        <v>919</v>
      </c>
      <c r="D11" s="309">
        <f t="shared" si="2"/>
        <v>-0.44771634615384615</v>
      </c>
      <c r="E11" s="305">
        <v>1257</v>
      </c>
      <c r="F11" s="309">
        <f t="shared" si="3"/>
        <v>-0.24459134615384615</v>
      </c>
      <c r="G11" s="305">
        <v>1296</v>
      </c>
      <c r="H11" s="309">
        <f t="shared" si="4"/>
        <v>-0.22115384615384615</v>
      </c>
      <c r="I11" s="307">
        <f t="shared" si="0"/>
        <v>3472</v>
      </c>
      <c r="J11" s="314">
        <f t="shared" si="5"/>
        <v>-0.30448717948717952</v>
      </c>
      <c r="K11" s="305">
        <v>1175</v>
      </c>
      <c r="L11" s="309">
        <f t="shared" si="6"/>
        <v>-0.29387019230769229</v>
      </c>
      <c r="M11" s="305">
        <v>64</v>
      </c>
      <c r="N11" s="309">
        <f t="shared" si="7"/>
        <v>-0.96153846153846156</v>
      </c>
      <c r="O11" s="305">
        <v>200</v>
      </c>
      <c r="P11" s="309">
        <f t="shared" si="8"/>
        <v>-0.87980769230769229</v>
      </c>
      <c r="Q11" s="307">
        <f t="shared" si="1"/>
        <v>1439</v>
      </c>
      <c r="R11" s="314">
        <f t="shared" si="9"/>
        <v>-0.71173878205128205</v>
      </c>
    </row>
    <row r="12" spans="1:18" ht="24" x14ac:dyDescent="0.25">
      <c r="A12" s="438" t="s">
        <v>189</v>
      </c>
      <c r="B12" s="311">
        <v>111</v>
      </c>
      <c r="C12" s="305">
        <v>109</v>
      </c>
      <c r="D12" s="309">
        <f t="shared" si="2"/>
        <v>-1.8018018018018056E-2</v>
      </c>
      <c r="E12" s="305">
        <v>100</v>
      </c>
      <c r="F12" s="309">
        <f t="shared" si="3"/>
        <v>-9.9099099099099086E-2</v>
      </c>
      <c r="G12" s="305">
        <v>71</v>
      </c>
      <c r="H12" s="309">
        <f t="shared" si="4"/>
        <v>-0.36036036036036034</v>
      </c>
      <c r="I12" s="307">
        <f t="shared" si="0"/>
        <v>280</v>
      </c>
      <c r="J12" s="314">
        <f t="shared" si="5"/>
        <v>-0.15915915915915912</v>
      </c>
      <c r="K12" s="305">
        <v>98</v>
      </c>
      <c r="L12" s="309">
        <f t="shared" si="6"/>
        <v>-0.11711711711711714</v>
      </c>
      <c r="M12" s="305">
        <v>7</v>
      </c>
      <c r="N12" s="309">
        <f t="shared" si="7"/>
        <v>-0.93693693693693691</v>
      </c>
      <c r="O12" s="305">
        <v>200</v>
      </c>
      <c r="P12" s="309">
        <f t="shared" si="8"/>
        <v>0.80180180180180183</v>
      </c>
      <c r="Q12" s="307">
        <f t="shared" si="1"/>
        <v>305</v>
      </c>
      <c r="R12" s="314">
        <f t="shared" si="9"/>
        <v>-8.4084084084084076E-2</v>
      </c>
    </row>
    <row r="13" spans="1:18" x14ac:dyDescent="0.25">
      <c r="A13" s="438" t="s">
        <v>169</v>
      </c>
      <c r="B13" s="311">
        <v>444</v>
      </c>
      <c r="C13" s="305">
        <v>110</v>
      </c>
      <c r="D13" s="309">
        <f t="shared" si="2"/>
        <v>-0.75225225225225223</v>
      </c>
      <c r="E13" s="305">
        <v>173</v>
      </c>
      <c r="F13" s="309">
        <f t="shared" si="3"/>
        <v>-0.61036036036036034</v>
      </c>
      <c r="G13" s="305">
        <v>106</v>
      </c>
      <c r="H13" s="309">
        <f t="shared" si="4"/>
        <v>-0.76126126126126126</v>
      </c>
      <c r="I13" s="307">
        <f t="shared" si="0"/>
        <v>389</v>
      </c>
      <c r="J13" s="314">
        <f t="shared" si="5"/>
        <v>-0.70795795795795802</v>
      </c>
      <c r="K13" s="305">
        <v>642</v>
      </c>
      <c r="L13" s="309">
        <f t="shared" si="6"/>
        <v>0.44594594594594605</v>
      </c>
      <c r="M13" s="305">
        <v>79</v>
      </c>
      <c r="N13" s="309">
        <f t="shared" si="7"/>
        <v>-0.82207207207207211</v>
      </c>
      <c r="O13" s="305">
        <v>17</v>
      </c>
      <c r="P13" s="309">
        <f t="shared" si="8"/>
        <v>-0.96171171171171177</v>
      </c>
      <c r="Q13" s="307">
        <f t="shared" si="1"/>
        <v>738</v>
      </c>
      <c r="R13" s="314">
        <f t="shared" si="9"/>
        <v>-0.44594594594594594</v>
      </c>
    </row>
    <row r="14" spans="1:18" x14ac:dyDescent="0.25">
      <c r="A14" s="303" t="s">
        <v>155</v>
      </c>
      <c r="B14" s="311">
        <v>263</v>
      </c>
      <c r="C14" s="305">
        <v>175</v>
      </c>
      <c r="D14" s="309">
        <f t="shared" si="2"/>
        <v>-0.33460076045627374</v>
      </c>
      <c r="E14" s="305">
        <v>62</v>
      </c>
      <c r="F14" s="309">
        <f>((E14/$B14))-1</f>
        <v>-0.76425855513307983</v>
      </c>
      <c r="G14" s="305">
        <v>0</v>
      </c>
      <c r="H14" s="309">
        <f>((G14/$B14))-1</f>
        <v>-1</v>
      </c>
      <c r="I14" s="307">
        <f t="shared" si="0"/>
        <v>237</v>
      </c>
      <c r="J14" s="314">
        <f t="shared" si="5"/>
        <v>-0.69961977186311786</v>
      </c>
      <c r="K14" s="305">
        <v>0</v>
      </c>
      <c r="L14" s="309">
        <f t="shared" si="6"/>
        <v>-1</v>
      </c>
      <c r="M14" s="305">
        <v>0</v>
      </c>
      <c r="N14" s="309">
        <f t="shared" si="7"/>
        <v>-1</v>
      </c>
      <c r="O14" s="305">
        <v>21</v>
      </c>
      <c r="P14" s="309">
        <f t="shared" si="8"/>
        <v>-0.92015209125475284</v>
      </c>
      <c r="Q14" s="307">
        <f t="shared" si="1"/>
        <v>21</v>
      </c>
      <c r="R14" s="314">
        <f t="shared" si="9"/>
        <v>-0.97338403041825095</v>
      </c>
    </row>
    <row r="15" spans="1:18" x14ac:dyDescent="0.25">
      <c r="A15" s="303" t="s">
        <v>192</v>
      </c>
      <c r="B15" s="311">
        <v>166</v>
      </c>
      <c r="C15" s="305">
        <v>26</v>
      </c>
      <c r="D15" s="309">
        <f t="shared" si="2"/>
        <v>-0.84337349397590367</v>
      </c>
      <c r="E15" s="305">
        <v>142</v>
      </c>
      <c r="F15" s="309">
        <f t="shared" si="3"/>
        <v>-0.14457831325301207</v>
      </c>
      <c r="G15" s="305">
        <v>131</v>
      </c>
      <c r="H15" s="309">
        <f t="shared" si="4"/>
        <v>-0.21084337349397586</v>
      </c>
      <c r="I15" s="307">
        <f t="shared" si="0"/>
        <v>299</v>
      </c>
      <c r="J15" s="314">
        <f t="shared" si="5"/>
        <v>-0.39959839357429716</v>
      </c>
      <c r="K15" s="305">
        <v>88</v>
      </c>
      <c r="L15" s="309">
        <f t="shared" si="6"/>
        <v>-0.46987951807228912</v>
      </c>
      <c r="M15" s="305">
        <v>99</v>
      </c>
      <c r="N15" s="309">
        <f t="shared" si="7"/>
        <v>-0.40361445783132532</v>
      </c>
      <c r="O15" s="305">
        <v>79</v>
      </c>
      <c r="P15" s="309">
        <f t="shared" si="8"/>
        <v>-0.52409638554216875</v>
      </c>
      <c r="Q15" s="307">
        <f t="shared" si="1"/>
        <v>266</v>
      </c>
      <c r="R15" s="314">
        <f t="shared" si="9"/>
        <v>-0.46586345381526106</v>
      </c>
    </row>
    <row r="16" spans="1:18" x14ac:dyDescent="0.25">
      <c r="A16" s="444" t="s">
        <v>6</v>
      </c>
      <c r="B16" s="311">
        <f>SUM(B7:B15)</f>
        <v>13696</v>
      </c>
      <c r="C16" s="445">
        <f>SUM(C7:C15)</f>
        <v>11771</v>
      </c>
      <c r="D16" s="309">
        <f>((C16/$B16))-1</f>
        <v>-0.14055198598130836</v>
      </c>
      <c r="E16" s="445">
        <f>SUM(E7:E15)</f>
        <v>13463</v>
      </c>
      <c r="F16" s="309">
        <f>((E16/$B16))-1</f>
        <v>-1.7012266355140193E-2</v>
      </c>
      <c r="G16" s="445">
        <f>SUM(G7:G15)</f>
        <v>11296</v>
      </c>
      <c r="H16" s="309">
        <f>((G16/$B16))-1</f>
        <v>-0.17523364485981308</v>
      </c>
      <c r="I16" s="307">
        <f>C16+E16+G16</f>
        <v>36530</v>
      </c>
      <c r="J16" s="314">
        <f>((I16/(3*$B16)))-1</f>
        <v>-0.11093263239875384</v>
      </c>
      <c r="K16" s="445">
        <f>SUM(K7:K15)</f>
        <v>12884</v>
      </c>
      <c r="L16" s="309">
        <f>((K16/$B16))-1</f>
        <v>-5.9287383177570097E-2</v>
      </c>
      <c r="M16" s="445">
        <f>SUM(M7:M15)</f>
        <v>10815</v>
      </c>
      <c r="N16" s="309">
        <f>((M16/$B16))-1</f>
        <v>-0.21035338785046731</v>
      </c>
      <c r="O16" s="445">
        <f>SUM(O7:O15)</f>
        <v>10638</v>
      </c>
      <c r="P16" s="309">
        <f t="shared" si="8"/>
        <v>-0.22327686915887845</v>
      </c>
      <c r="Q16" s="307">
        <f t="shared" si="1"/>
        <v>34337</v>
      </c>
      <c r="R16" s="314">
        <f>((Q16/(3*$B16)))-1</f>
        <v>-0.16430588006230529</v>
      </c>
    </row>
  </sheetData>
  <mergeCells count="3">
    <mergeCell ref="A5:R5"/>
    <mergeCell ref="A2:R2"/>
    <mergeCell ref="A3:R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&amp;L&amp;12Fonte: Sistema WEBSAASS / SMS&amp;R&amp;12pag.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2:R12"/>
  <sheetViews>
    <sheetView showGridLines="0" view="pageBreakPreview" zoomScale="90" zoomScaleNormal="100" zoomScaleSheetLayoutView="90" workbookViewId="0">
      <selection activeCell="A6" sqref="A6"/>
    </sheetView>
  </sheetViews>
  <sheetFormatPr defaultColWidth="8.85546875" defaultRowHeight="15" x14ac:dyDescent="0.25"/>
  <cols>
    <col min="1" max="1" width="36.85546875" customWidth="1"/>
    <col min="2" max="2" width="9" style="375" bestFit="1" customWidth="1"/>
    <col min="3" max="3" width="9" bestFit="1" customWidth="1"/>
    <col min="4" max="4" width="7.28515625" bestFit="1" customWidth="1"/>
    <col min="5" max="5" width="9" bestFit="1" customWidth="1"/>
    <col min="6" max="6" width="7.28515625" bestFit="1" customWidth="1"/>
    <col min="7" max="7" width="9" bestFit="1" customWidth="1"/>
    <col min="8" max="8" width="7.28515625" bestFit="1" customWidth="1"/>
    <col min="9" max="9" width="9.5703125" customWidth="1"/>
    <col min="10" max="10" width="7.28515625" bestFit="1" customWidth="1"/>
    <col min="11" max="11" width="9" bestFit="1" customWidth="1"/>
    <col min="12" max="12" width="7.28515625" bestFit="1" customWidth="1"/>
    <col min="13" max="13" width="9" bestFit="1" customWidth="1"/>
    <col min="14" max="14" width="7.28515625" bestFit="1" customWidth="1"/>
    <col min="15" max="15" width="9" bestFit="1" customWidth="1"/>
    <col min="16" max="16" width="7.28515625" bestFit="1" customWidth="1"/>
    <col min="17" max="17" width="9.7109375" customWidth="1"/>
    <col min="18" max="18" width="7.28515625" bestFit="1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5.75" customHeight="1" x14ac:dyDescent="0.25">
      <c r="A5" s="605" t="s">
        <v>205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</row>
    <row r="6" spans="1:18" ht="24.75" thickBot="1" x14ac:dyDescent="0.3">
      <c r="A6" s="109" t="s">
        <v>12</v>
      </c>
      <c r="B6" s="110" t="s">
        <v>13</v>
      </c>
      <c r="C6" s="111" t="str">
        <f>'UBS Vila Dalva'!C6</f>
        <v>JUL</v>
      </c>
      <c r="D6" s="112" t="str">
        <f>'UBS Vila Dalva'!D6</f>
        <v>%</v>
      </c>
      <c r="E6" s="111" t="str">
        <f>'UBS Vila Dalva'!E6</f>
        <v>AGO</v>
      </c>
      <c r="F6" s="112" t="str">
        <f>'UBS Vila Dalva'!F6</f>
        <v>%</v>
      </c>
      <c r="G6" s="111" t="str">
        <f>'UBS Vila Dalva'!G6</f>
        <v>SET</v>
      </c>
      <c r="H6" s="112" t="str">
        <f>'UBS Vila Dalva'!H6</f>
        <v>%</v>
      </c>
      <c r="I6" s="113" t="str">
        <f>'UBS Vila Dalva'!I6</f>
        <v>Trimestre</v>
      </c>
      <c r="J6" s="113" t="str">
        <f>'UBS Vila Dalva'!J6</f>
        <v>%</v>
      </c>
      <c r="K6" s="111" t="str">
        <f>'UBS Vila Dalva'!K6</f>
        <v>OUT</v>
      </c>
      <c r="L6" s="112" t="str">
        <f>'UBS Vila Dalva'!L6</f>
        <v>%</v>
      </c>
      <c r="M6" s="111" t="str">
        <f>'UBS Vila Dalva'!M6</f>
        <v>NOV</v>
      </c>
      <c r="N6" s="112" t="str">
        <f>'UBS Vila Dalva'!N6</f>
        <v>%</v>
      </c>
      <c r="O6" s="111" t="str">
        <f>'UBS Vila Dalva'!O6</f>
        <v>DEZ</v>
      </c>
      <c r="P6" s="112" t="str">
        <f>'UBS Vila Dalva'!P6</f>
        <v>%</v>
      </c>
      <c r="Q6" s="113" t="str">
        <f>'UBS Vila Dalva'!Q6</f>
        <v>Trimestre</v>
      </c>
      <c r="R6" s="113" t="s">
        <v>1</v>
      </c>
    </row>
    <row r="7" spans="1:18" ht="15.75" thickTop="1" x14ac:dyDescent="0.25">
      <c r="A7" s="49" t="s">
        <v>143</v>
      </c>
      <c r="B7" s="3">
        <v>4800</v>
      </c>
      <c r="C7" s="4">
        <v>4192</v>
      </c>
      <c r="D7" s="13">
        <f>((C7/$B7))-1</f>
        <v>-0.12666666666666671</v>
      </c>
      <c r="E7" s="194">
        <v>3582</v>
      </c>
      <c r="F7" s="13">
        <f>((E7/$B7))-1</f>
        <v>-0.25375000000000003</v>
      </c>
      <c r="G7" s="194">
        <v>3555</v>
      </c>
      <c r="H7" s="17">
        <f>((G7/$B7))-1</f>
        <v>-0.25937500000000002</v>
      </c>
      <c r="I7" s="5">
        <f>C7+E7+G7</f>
        <v>11329</v>
      </c>
      <c r="J7" s="14">
        <f>((I7/(3*$B7)))-1</f>
        <v>-0.21326388888888892</v>
      </c>
      <c r="K7" s="194">
        <v>3668</v>
      </c>
      <c r="L7" s="13">
        <f>((K7/$B7))-1</f>
        <v>-0.23583333333333334</v>
      </c>
      <c r="M7" s="194">
        <v>4112</v>
      </c>
      <c r="N7" s="13">
        <f>((M7/$B7))-1</f>
        <v>-0.14333333333333331</v>
      </c>
      <c r="O7" s="194">
        <v>4430</v>
      </c>
      <c r="P7" s="17">
        <f>((O7/$B7))-1</f>
        <v>-7.7083333333333282E-2</v>
      </c>
      <c r="Q7" s="5">
        <f>K7+M7+O7</f>
        <v>12210</v>
      </c>
      <c r="R7" s="14">
        <f>((Q7/(3*$B7)))-1</f>
        <v>-0.15208333333333335</v>
      </c>
    </row>
    <row r="8" spans="1:18" x14ac:dyDescent="0.25">
      <c r="A8" s="106" t="s">
        <v>144</v>
      </c>
      <c r="B8" s="374">
        <v>1664</v>
      </c>
      <c r="C8" s="107">
        <v>697</v>
      </c>
      <c r="D8" s="13">
        <f t="shared" ref="D8:D11" si="0">((C8/$B8))-1</f>
        <v>-0.58112980769230771</v>
      </c>
      <c r="E8" s="285">
        <v>447</v>
      </c>
      <c r="F8" s="13">
        <f t="shared" ref="F8" si="1">((E8/$B8))-1</f>
        <v>-0.73137019230769229</v>
      </c>
      <c r="G8" s="285">
        <v>838</v>
      </c>
      <c r="H8" s="17">
        <f t="shared" ref="H8:H11" si="2">((G8/$B8))-1</f>
        <v>-0.49639423076923073</v>
      </c>
      <c r="I8" s="5">
        <f t="shared" ref="I8:I11" si="3">C8+E8+G8</f>
        <v>1982</v>
      </c>
      <c r="J8" s="14">
        <f t="shared" ref="J8:J11" si="4">((I8/(3*$B8)))-1</f>
        <v>-0.60296474358974361</v>
      </c>
      <c r="K8" s="285">
        <v>935</v>
      </c>
      <c r="L8" s="13">
        <f t="shared" ref="L8:L11" si="5">((K8/$B8))-1</f>
        <v>-0.43810096153846156</v>
      </c>
      <c r="M8" s="285">
        <v>1156</v>
      </c>
      <c r="N8" s="13">
        <f t="shared" ref="N8:N11" si="6">((M8/$B8))-1</f>
        <v>-0.30528846153846156</v>
      </c>
      <c r="O8" s="285">
        <v>1135</v>
      </c>
      <c r="P8" s="17">
        <f t="shared" ref="P8:P11" si="7">((O8/$B8))-1</f>
        <v>-0.31790865384615385</v>
      </c>
      <c r="Q8" s="5">
        <f t="shared" ref="Q8:Q11" si="8">K8+M8+O8</f>
        <v>3226</v>
      </c>
      <c r="R8" s="14">
        <f t="shared" ref="R8:R12" si="9">((Q8/(3*$B8)))-1</f>
        <v>-0.35376602564102566</v>
      </c>
    </row>
    <row r="9" spans="1:18" x14ac:dyDescent="0.25">
      <c r="A9" s="106" t="s">
        <v>16</v>
      </c>
      <c r="B9" s="374">
        <v>624</v>
      </c>
      <c r="C9" s="107">
        <v>624</v>
      </c>
      <c r="D9" s="13">
        <f t="shared" si="0"/>
        <v>0</v>
      </c>
      <c r="E9" s="285">
        <v>736</v>
      </c>
      <c r="F9" s="13">
        <f t="shared" ref="F9" si="10">((E9/$B9))-1</f>
        <v>0.17948717948717952</v>
      </c>
      <c r="G9" s="285">
        <v>789</v>
      </c>
      <c r="H9" s="17">
        <f t="shared" si="2"/>
        <v>0.26442307692307687</v>
      </c>
      <c r="I9" s="5">
        <f t="shared" si="3"/>
        <v>2149</v>
      </c>
      <c r="J9" s="14">
        <f t="shared" si="4"/>
        <v>0.14797008547008539</v>
      </c>
      <c r="K9" s="285">
        <v>649</v>
      </c>
      <c r="L9" s="13">
        <f t="shared" si="5"/>
        <v>4.0064102564102644E-2</v>
      </c>
      <c r="M9" s="285">
        <v>656</v>
      </c>
      <c r="N9" s="13">
        <f t="shared" si="6"/>
        <v>5.1282051282051322E-2</v>
      </c>
      <c r="O9" s="285">
        <v>594</v>
      </c>
      <c r="P9" s="17">
        <f t="shared" si="7"/>
        <v>-4.8076923076923128E-2</v>
      </c>
      <c r="Q9" s="5">
        <f t="shared" si="8"/>
        <v>1899</v>
      </c>
      <c r="R9" s="14">
        <f t="shared" si="9"/>
        <v>1.4423076923076872E-2</v>
      </c>
    </row>
    <row r="10" spans="1:18" ht="24" x14ac:dyDescent="0.25">
      <c r="A10" s="585" t="s">
        <v>179</v>
      </c>
      <c r="B10" s="374">
        <v>208</v>
      </c>
      <c r="C10" s="107">
        <v>194</v>
      </c>
      <c r="D10" s="13">
        <f t="shared" si="0"/>
        <v>-6.7307692307692291E-2</v>
      </c>
      <c r="E10" s="285">
        <v>176</v>
      </c>
      <c r="F10" s="13">
        <f t="shared" ref="F10" si="11">((E10/$B10))-1</f>
        <v>-0.15384615384615385</v>
      </c>
      <c r="G10" s="285">
        <v>202</v>
      </c>
      <c r="H10" s="17">
        <f t="shared" si="2"/>
        <v>-2.8846153846153855E-2</v>
      </c>
      <c r="I10" s="5">
        <f t="shared" si="3"/>
        <v>572</v>
      </c>
      <c r="J10" s="14">
        <f t="shared" si="4"/>
        <v>-8.333333333333337E-2</v>
      </c>
      <c r="K10" s="285">
        <v>163</v>
      </c>
      <c r="L10" s="13">
        <f t="shared" si="5"/>
        <v>-0.21634615384615385</v>
      </c>
      <c r="M10" s="285">
        <v>24</v>
      </c>
      <c r="N10" s="13">
        <f t="shared" si="6"/>
        <v>-0.88461538461538458</v>
      </c>
      <c r="O10" s="285">
        <v>35</v>
      </c>
      <c r="P10" s="17">
        <f t="shared" si="7"/>
        <v>-0.83173076923076916</v>
      </c>
      <c r="Q10" s="5">
        <f t="shared" si="8"/>
        <v>222</v>
      </c>
      <c r="R10" s="14">
        <f t="shared" si="9"/>
        <v>-0.64423076923076916</v>
      </c>
    </row>
    <row r="11" spans="1:18" ht="15.75" thickBot="1" x14ac:dyDescent="0.3">
      <c r="A11" s="585" t="s">
        <v>8</v>
      </c>
      <c r="B11" s="374">
        <v>1248</v>
      </c>
      <c r="C11" s="107">
        <v>829</v>
      </c>
      <c r="D11" s="13">
        <f t="shared" si="0"/>
        <v>-0.33573717948717952</v>
      </c>
      <c r="E11" s="285">
        <v>1122</v>
      </c>
      <c r="F11" s="13">
        <f t="shared" ref="F11" si="12">((E11/$B11))-1</f>
        <v>-0.10096153846153844</v>
      </c>
      <c r="G11" s="285">
        <v>2228</v>
      </c>
      <c r="H11" s="17">
        <f t="shared" si="2"/>
        <v>0.78525641025641035</v>
      </c>
      <c r="I11" s="5">
        <f t="shared" si="3"/>
        <v>4179</v>
      </c>
      <c r="J11" s="14">
        <f t="shared" si="4"/>
        <v>0.11618589743589736</v>
      </c>
      <c r="K11" s="285">
        <v>1891</v>
      </c>
      <c r="L11" s="13">
        <f t="shared" si="5"/>
        <v>0.51522435897435903</v>
      </c>
      <c r="M11" s="285">
        <v>71</v>
      </c>
      <c r="N11" s="13">
        <f t="shared" si="6"/>
        <v>-0.94310897435897434</v>
      </c>
      <c r="O11" s="285">
        <v>120</v>
      </c>
      <c r="P11" s="17">
        <f t="shared" si="7"/>
        <v>-0.90384615384615385</v>
      </c>
      <c r="Q11" s="5">
        <f t="shared" si="8"/>
        <v>2082</v>
      </c>
      <c r="R11" s="14">
        <f t="shared" si="9"/>
        <v>-0.44391025641025639</v>
      </c>
    </row>
    <row r="12" spans="1:18" ht="15.75" thickBot="1" x14ac:dyDescent="0.3">
      <c r="A12" s="44" t="s">
        <v>6</v>
      </c>
      <c r="B12" s="46">
        <f>SUM(B7:B11)</f>
        <v>8544</v>
      </c>
      <c r="C12" s="48">
        <f>SUM(C7:C11)</f>
        <v>6536</v>
      </c>
      <c r="D12" s="52">
        <f>((C12/$B12))-1</f>
        <v>-0.23501872659176026</v>
      </c>
      <c r="E12" s="48">
        <f>SUM(E7:E11)</f>
        <v>6063</v>
      </c>
      <c r="F12" s="52">
        <f>((E12/$B12))-1</f>
        <v>-0.2903792134831461</v>
      </c>
      <c r="G12" s="48">
        <f>SUM(G7:G11)</f>
        <v>7612</v>
      </c>
      <c r="H12" s="115">
        <f>((G12/$B12))-1</f>
        <v>-0.10908239700374533</v>
      </c>
      <c r="I12" s="47">
        <f>C12+E12+G12</f>
        <v>20211</v>
      </c>
      <c r="J12" s="53">
        <f>((I12/(3*$B12)))-1</f>
        <v>-0.21149344569288386</v>
      </c>
      <c r="K12" s="48">
        <f>SUM(K7:K11)</f>
        <v>7306</v>
      </c>
      <c r="L12" s="52">
        <f>((K12/$B12))-1</f>
        <v>-0.14489700374531833</v>
      </c>
      <c r="M12" s="48">
        <f>SUM(M7:M11)</f>
        <v>6019</v>
      </c>
      <c r="N12" s="52">
        <f>((M12/$B12))-1</f>
        <v>-0.29552902621722843</v>
      </c>
      <c r="O12" s="48">
        <f>SUM(O7:O11)</f>
        <v>6314</v>
      </c>
      <c r="P12" s="115">
        <f>((O12/$B12))-1</f>
        <v>-0.26100187265917607</v>
      </c>
      <c r="Q12" s="47">
        <f>K12+M12+O12</f>
        <v>19639</v>
      </c>
      <c r="R12" s="53">
        <f t="shared" si="9"/>
        <v>-0.23380930087390761</v>
      </c>
    </row>
  </sheetData>
  <mergeCells count="3">
    <mergeCell ref="A5:R5"/>
    <mergeCell ref="A2:R2"/>
    <mergeCell ref="A3:R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&amp;L&amp;12Fonte: Sistema WEBSAASS / SMS&amp;R&amp;12pag.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2:R41"/>
  <sheetViews>
    <sheetView showGridLines="0" view="pageBreakPreview" zoomScale="90" zoomScaleNormal="100" zoomScaleSheetLayoutView="90" workbookViewId="0">
      <selection activeCell="A6" sqref="A6"/>
    </sheetView>
  </sheetViews>
  <sheetFormatPr defaultColWidth="8.85546875" defaultRowHeight="15" x14ac:dyDescent="0.25"/>
  <cols>
    <col min="1" max="1" width="30" customWidth="1"/>
    <col min="2" max="2" width="9" style="375" bestFit="1" customWidth="1"/>
    <col min="3" max="3" width="9" bestFit="1" customWidth="1"/>
    <col min="4" max="4" width="8.28515625" bestFit="1" customWidth="1"/>
    <col min="5" max="5" width="9" bestFit="1" customWidth="1"/>
    <col min="6" max="6" width="8.28515625" bestFit="1" customWidth="1"/>
    <col min="7" max="7" width="9" bestFit="1" customWidth="1"/>
    <col min="8" max="8" width="8.28515625" bestFit="1" customWidth="1"/>
    <col min="9" max="9" width="10.7109375" customWidth="1"/>
    <col min="10" max="10" width="8.28515625" bestFit="1" customWidth="1"/>
    <col min="11" max="11" width="9" bestFit="1" customWidth="1"/>
    <col min="12" max="12" width="8.28515625" bestFit="1" customWidth="1"/>
    <col min="13" max="13" width="9" bestFit="1" customWidth="1"/>
    <col min="14" max="14" width="8.28515625" bestFit="1" customWidth="1"/>
    <col min="15" max="15" width="9" bestFit="1" customWidth="1"/>
    <col min="16" max="16" width="8.28515625" bestFit="1" customWidth="1"/>
    <col min="17" max="17" width="11.140625" bestFit="1" customWidth="1"/>
    <col min="18" max="18" width="8.28515625" bestFit="1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5.75" x14ac:dyDescent="0.25">
      <c r="A5" s="603" t="s">
        <v>206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</row>
    <row r="6" spans="1:18" ht="24" x14ac:dyDescent="0.25">
      <c r="A6" s="439" t="s">
        <v>12</v>
      </c>
      <c r="B6" s="440" t="s">
        <v>13</v>
      </c>
      <c r="C6" s="439" t="str">
        <f>'UBS Vila Dalva'!C6</f>
        <v>JUL</v>
      </c>
      <c r="D6" s="441" t="str">
        <f>'UBS Vila Dalva'!D6</f>
        <v>%</v>
      </c>
      <c r="E6" s="439" t="str">
        <f>'UBS Vila Dalva'!E6</f>
        <v>AGO</v>
      </c>
      <c r="F6" s="441" t="str">
        <f>'UBS Vila Dalva'!F6</f>
        <v>%</v>
      </c>
      <c r="G6" s="439" t="str">
        <f>'UBS Vila Dalva'!G6</f>
        <v>SET</v>
      </c>
      <c r="H6" s="441" t="str">
        <f>'UBS Vila Dalva'!H6</f>
        <v>%</v>
      </c>
      <c r="I6" s="442" t="str">
        <f>'UBS Vila Dalva'!I6</f>
        <v>Trimestre</v>
      </c>
      <c r="J6" s="442" t="str">
        <f>'UBS Vila Dalva'!J6</f>
        <v>%</v>
      </c>
      <c r="K6" s="439" t="str">
        <f>'UBS Vila Dalva'!K6</f>
        <v>OUT</v>
      </c>
      <c r="L6" s="441" t="str">
        <f>'UBS Vila Dalva'!L6</f>
        <v>%</v>
      </c>
      <c r="M6" s="439" t="str">
        <f>'UBS Vila Dalva'!M6</f>
        <v>NOV</v>
      </c>
      <c r="N6" s="441" t="str">
        <f>'UBS Vila Dalva'!N6</f>
        <v>%</v>
      </c>
      <c r="O6" s="439" t="str">
        <f>'UBS Vila Dalva'!O6</f>
        <v>DEZ</v>
      </c>
      <c r="P6" s="441" t="str">
        <f>'UBS Vila Dalva'!P6</f>
        <v>%</v>
      </c>
      <c r="Q6" s="442" t="str">
        <f>'UBS Vila Dalva'!Q6</f>
        <v>Trimestre</v>
      </c>
      <c r="R6" s="442" t="str">
        <f>'UBS Vila Dalva'!R6</f>
        <v>%</v>
      </c>
    </row>
    <row r="7" spans="1:18" x14ac:dyDescent="0.25">
      <c r="A7" s="303" t="s">
        <v>15</v>
      </c>
      <c r="B7" s="311">
        <v>3600</v>
      </c>
      <c r="C7" s="305">
        <v>0</v>
      </c>
      <c r="D7" s="338">
        <f>((C7/$B7))-1</f>
        <v>-1</v>
      </c>
      <c r="E7" s="305">
        <v>0</v>
      </c>
      <c r="F7" s="338">
        <f>((E7/$B7))-1</f>
        <v>-1</v>
      </c>
      <c r="G7" s="305">
        <v>0</v>
      </c>
      <c r="H7" s="338">
        <f>((G7/$B7))-1</f>
        <v>-1</v>
      </c>
      <c r="I7" s="307">
        <f t="shared" ref="I7:I9" si="0">C7+E7+G7</f>
        <v>0</v>
      </c>
      <c r="J7" s="339">
        <f>((I7/(3*$B7)))-1</f>
        <v>-1</v>
      </c>
      <c r="K7" s="305">
        <v>0</v>
      </c>
      <c r="L7" s="338">
        <f>((K7/$B7))-1</f>
        <v>-1</v>
      </c>
      <c r="M7" s="305">
        <v>1</v>
      </c>
      <c r="N7" s="338">
        <f>((M7/$B7))-1</f>
        <v>-0.99972222222222218</v>
      </c>
      <c r="O7" s="305">
        <v>0</v>
      </c>
      <c r="P7" s="338">
        <f>((O7/$B7))-1</f>
        <v>-1</v>
      </c>
      <c r="Q7" s="307">
        <f>K7+M7+O7</f>
        <v>1</v>
      </c>
      <c r="R7" s="339">
        <f>((Q7/(3*$B7)))-1</f>
        <v>-0.99990740740740736</v>
      </c>
    </row>
    <row r="8" spans="1:18" x14ac:dyDescent="0.25">
      <c r="A8" s="303" t="s">
        <v>144</v>
      </c>
      <c r="B8" s="311">
        <v>1248</v>
      </c>
      <c r="C8" s="305">
        <v>0</v>
      </c>
      <c r="D8" s="338">
        <f t="shared" ref="D8:D9" si="1">((C8/$B8))-1</f>
        <v>-1</v>
      </c>
      <c r="E8" s="305">
        <v>216</v>
      </c>
      <c r="F8" s="338">
        <f t="shared" ref="F8:F9" si="2">((E8/$B8))-1</f>
        <v>-0.82692307692307687</v>
      </c>
      <c r="G8" s="305">
        <v>570</v>
      </c>
      <c r="H8" s="338">
        <f t="shared" ref="H8:H9" si="3">((G8/$B8))-1</f>
        <v>-0.54326923076923084</v>
      </c>
      <c r="I8" s="307">
        <f t="shared" si="0"/>
        <v>786</v>
      </c>
      <c r="J8" s="339">
        <f t="shared" ref="J8:J9" si="4">((I8/(3*$B8)))-1</f>
        <v>-0.79006410256410253</v>
      </c>
      <c r="K8" s="305">
        <v>488</v>
      </c>
      <c r="L8" s="338">
        <f t="shared" ref="L8:L9" si="5">((K8/$B8))-1</f>
        <v>-0.60897435897435903</v>
      </c>
      <c r="M8" s="305">
        <v>343</v>
      </c>
      <c r="N8" s="338">
        <f t="shared" ref="N8:N9" si="6">((M8/$B8))-1</f>
        <v>-0.72516025641025639</v>
      </c>
      <c r="O8" s="305">
        <v>431</v>
      </c>
      <c r="P8" s="338">
        <f t="shared" ref="P8:P9" si="7">((O8/$B8))-1</f>
        <v>-0.6546474358974359</v>
      </c>
      <c r="Q8" s="307">
        <f t="shared" ref="Q8:Q9" si="8">K8+M8+O8</f>
        <v>1262</v>
      </c>
      <c r="R8" s="339">
        <f t="shared" ref="R8:R9" si="9">((Q8/(3*$B8)))-1</f>
        <v>-0.6629273504273504</v>
      </c>
    </row>
    <row r="9" spans="1:18" x14ac:dyDescent="0.25">
      <c r="A9" s="303" t="s">
        <v>16</v>
      </c>
      <c r="B9" s="311">
        <v>468</v>
      </c>
      <c r="C9" s="305">
        <v>20</v>
      </c>
      <c r="D9" s="338">
        <f t="shared" si="1"/>
        <v>-0.95726495726495731</v>
      </c>
      <c r="E9" s="305">
        <v>21</v>
      </c>
      <c r="F9" s="338">
        <f t="shared" si="2"/>
        <v>-0.95512820512820518</v>
      </c>
      <c r="G9" s="305">
        <v>44</v>
      </c>
      <c r="H9" s="338">
        <f t="shared" si="3"/>
        <v>-0.90598290598290598</v>
      </c>
      <c r="I9" s="307">
        <f t="shared" si="0"/>
        <v>85</v>
      </c>
      <c r="J9" s="339">
        <f t="shared" si="4"/>
        <v>-0.93945868945868949</v>
      </c>
      <c r="K9" s="305">
        <v>66</v>
      </c>
      <c r="L9" s="338">
        <f t="shared" si="5"/>
        <v>-0.85897435897435903</v>
      </c>
      <c r="M9" s="305">
        <v>81</v>
      </c>
      <c r="N9" s="338">
        <f t="shared" si="6"/>
        <v>-0.82692307692307687</v>
      </c>
      <c r="O9" s="305">
        <v>77</v>
      </c>
      <c r="P9" s="338">
        <f t="shared" si="7"/>
        <v>-0.8354700854700855</v>
      </c>
      <c r="Q9" s="307">
        <f t="shared" si="8"/>
        <v>224</v>
      </c>
      <c r="R9" s="339">
        <f t="shared" si="9"/>
        <v>-0.84045584045584043</v>
      </c>
    </row>
    <row r="10" spans="1:18" x14ac:dyDescent="0.25">
      <c r="A10" s="444" t="s">
        <v>6</v>
      </c>
      <c r="B10" s="311">
        <f>SUM(B7:B9)</f>
        <v>5316</v>
      </c>
      <c r="C10" s="445">
        <f>SUM(C7:C9)</f>
        <v>20</v>
      </c>
      <c r="D10" s="309">
        <f>((C10/$B10))-1</f>
        <v>-0.99623777276147474</v>
      </c>
      <c r="E10" s="445">
        <f>SUM(E7:E9)</f>
        <v>237</v>
      </c>
      <c r="F10" s="309">
        <f>((E10/$B10))-1</f>
        <v>-0.95541760722347635</v>
      </c>
      <c r="G10" s="445">
        <f>SUM(G7:G9)</f>
        <v>614</v>
      </c>
      <c r="H10" s="309">
        <f>((G10/$B10))-1</f>
        <v>-0.8844996237772762</v>
      </c>
      <c r="I10" s="446">
        <f>C10+E10+G10</f>
        <v>871</v>
      </c>
      <c r="J10" s="314">
        <f>((I10/(3*$B10)))-1</f>
        <v>-0.94538500125407576</v>
      </c>
      <c r="K10" s="445">
        <f>SUM(K7:K9)</f>
        <v>554</v>
      </c>
      <c r="L10" s="309">
        <f>((K10/$B10))-1</f>
        <v>-0.89578630549285176</v>
      </c>
      <c r="M10" s="445">
        <f>SUM(M7:M9)</f>
        <v>425</v>
      </c>
      <c r="N10" s="309">
        <f>((M10/$B10))-1</f>
        <v>-0.92005267118133938</v>
      </c>
      <c r="O10" s="445">
        <f>SUM(O7:O9)</f>
        <v>508</v>
      </c>
      <c r="P10" s="309">
        <f>((O10/$B10))-1</f>
        <v>-0.90443942814145972</v>
      </c>
      <c r="Q10" s="446">
        <f>K10+M10+O10</f>
        <v>1487</v>
      </c>
      <c r="R10" s="314">
        <f>((Q10/(3*$B10)))-1</f>
        <v>-0.90675946827188358</v>
      </c>
    </row>
    <row r="12" spans="1:18" hidden="1" x14ac:dyDescent="0.25"/>
    <row r="13" spans="1:18" ht="15.75" hidden="1" x14ac:dyDescent="0.25">
      <c r="A13" s="603" t="s">
        <v>207</v>
      </c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</row>
    <row r="14" spans="1:18" ht="24" hidden="1" x14ac:dyDescent="0.25">
      <c r="A14" s="439" t="s">
        <v>12</v>
      </c>
      <c r="B14" s="440" t="s">
        <v>13</v>
      </c>
      <c r="C14" s="439" t="str">
        <f t="shared" ref="C14:R14" si="10">C6</f>
        <v>JUL</v>
      </c>
      <c r="D14" s="441" t="str">
        <f t="shared" si="10"/>
        <v>%</v>
      </c>
      <c r="E14" s="439" t="str">
        <f t="shared" si="10"/>
        <v>AGO</v>
      </c>
      <c r="F14" s="441" t="str">
        <f t="shared" si="10"/>
        <v>%</v>
      </c>
      <c r="G14" s="439" t="str">
        <f t="shared" si="10"/>
        <v>SET</v>
      </c>
      <c r="H14" s="441" t="str">
        <f t="shared" si="10"/>
        <v>%</v>
      </c>
      <c r="I14" s="442" t="str">
        <f t="shared" si="10"/>
        <v>Trimestre</v>
      </c>
      <c r="J14" s="442" t="str">
        <f t="shared" si="10"/>
        <v>%</v>
      </c>
      <c r="K14" s="439" t="str">
        <f t="shared" si="10"/>
        <v>OUT</v>
      </c>
      <c r="L14" s="441" t="str">
        <f t="shared" si="10"/>
        <v>%</v>
      </c>
      <c r="M14" s="439" t="str">
        <f t="shared" si="10"/>
        <v>NOV</v>
      </c>
      <c r="N14" s="441" t="str">
        <f t="shared" si="10"/>
        <v>%</v>
      </c>
      <c r="O14" s="439" t="str">
        <f t="shared" si="10"/>
        <v>DEZ</v>
      </c>
      <c r="P14" s="441" t="str">
        <f t="shared" si="10"/>
        <v>%</v>
      </c>
      <c r="Q14" s="442" t="str">
        <f t="shared" si="10"/>
        <v>Trimestre</v>
      </c>
      <c r="R14" s="442" t="str">
        <f t="shared" si="10"/>
        <v>%</v>
      </c>
    </row>
    <row r="15" spans="1:18" hidden="1" x14ac:dyDescent="0.25">
      <c r="A15" s="303" t="s">
        <v>147</v>
      </c>
      <c r="B15" s="311">
        <v>18</v>
      </c>
      <c r="C15" s="305"/>
      <c r="D15" s="338">
        <f>((C15/$B15))-1</f>
        <v>-1</v>
      </c>
      <c r="E15" s="305"/>
      <c r="F15" s="338">
        <f>((E15/$B15))-1</f>
        <v>-1</v>
      </c>
      <c r="G15" s="305"/>
      <c r="H15" s="338">
        <f>((G15/$B15))-1</f>
        <v>-1</v>
      </c>
      <c r="I15" s="307">
        <f t="shared" ref="I15:I18" si="11">C15+E15+G15</f>
        <v>0</v>
      </c>
      <c r="J15" s="339">
        <f>((I15/(3*$B15)))-1</f>
        <v>-1</v>
      </c>
      <c r="K15" s="305"/>
      <c r="L15" s="338">
        <f t="shared" ref="L15:L18" si="12">((K15/$B15))-1</f>
        <v>-1</v>
      </c>
      <c r="M15" s="305"/>
      <c r="N15" s="338">
        <f>((M15/$B15))-1</f>
        <v>-1</v>
      </c>
      <c r="O15" s="443"/>
      <c r="P15" s="338">
        <f>((O15/$B15))-1</f>
        <v>-1</v>
      </c>
      <c r="Q15" s="307">
        <f>K15+M15+O15</f>
        <v>0</v>
      </c>
      <c r="R15" s="339">
        <f>((Q15/(3*$B15)))-1</f>
        <v>-1</v>
      </c>
    </row>
    <row r="16" spans="1:18" hidden="1" x14ac:dyDescent="0.25">
      <c r="A16" s="303" t="s">
        <v>148</v>
      </c>
      <c r="B16" s="311">
        <v>3</v>
      </c>
      <c r="C16" s="305"/>
      <c r="D16" s="338">
        <f t="shared" ref="D16:D18" si="13">((C16/$B16))-1</f>
        <v>-1</v>
      </c>
      <c r="E16" s="305"/>
      <c r="F16" s="338">
        <f t="shared" ref="F16:F17" si="14">((E16/$B16))-1</f>
        <v>-1</v>
      </c>
      <c r="G16" s="305"/>
      <c r="H16" s="338">
        <f t="shared" ref="H16:H18" si="15">((G16/$B16))-1</f>
        <v>-1</v>
      </c>
      <c r="I16" s="307">
        <f t="shared" si="11"/>
        <v>0</v>
      </c>
      <c r="J16" s="339">
        <f t="shared" ref="J16:J18" si="16">((I16/(3*$B16)))-1</f>
        <v>-1</v>
      </c>
      <c r="K16" s="305"/>
      <c r="L16" s="338">
        <f t="shared" si="12"/>
        <v>-1</v>
      </c>
      <c r="M16" s="305"/>
      <c r="N16" s="338">
        <f t="shared" ref="N16:N17" si="17">((M16/$B16))-1</f>
        <v>-1</v>
      </c>
      <c r="O16" s="305"/>
      <c r="P16" s="338">
        <f>((O16/$B16))-1</f>
        <v>-1</v>
      </c>
      <c r="Q16" s="307">
        <f t="shared" ref="Q16:Q18" si="18">K16+M16+O16</f>
        <v>0</v>
      </c>
      <c r="R16" s="339">
        <f t="shared" ref="R16:R18" si="19">((Q16/(3*$B16)))-1</f>
        <v>-1</v>
      </c>
    </row>
    <row r="17" spans="1:18" hidden="1" x14ac:dyDescent="0.25">
      <c r="A17" s="303" t="s">
        <v>14</v>
      </c>
      <c r="B17" s="311">
        <v>3</v>
      </c>
      <c r="C17" s="305"/>
      <c r="D17" s="338">
        <f t="shared" si="13"/>
        <v>-1</v>
      </c>
      <c r="E17" s="305"/>
      <c r="F17" s="338">
        <f t="shared" si="14"/>
        <v>-1</v>
      </c>
      <c r="G17" s="305"/>
      <c r="H17" s="338">
        <f t="shared" si="15"/>
        <v>-1</v>
      </c>
      <c r="I17" s="307">
        <f t="shared" si="11"/>
        <v>0</v>
      </c>
      <c r="J17" s="339">
        <f t="shared" si="16"/>
        <v>-1</v>
      </c>
      <c r="K17" s="305"/>
      <c r="L17" s="338">
        <f t="shared" si="12"/>
        <v>-1</v>
      </c>
      <c r="M17" s="305"/>
      <c r="N17" s="338">
        <f t="shared" si="17"/>
        <v>-1</v>
      </c>
      <c r="O17" s="305"/>
      <c r="P17" s="338">
        <f t="shared" ref="P17:P18" si="20">((O17/$B17))-1</f>
        <v>-1</v>
      </c>
      <c r="Q17" s="307">
        <f t="shared" si="18"/>
        <v>0</v>
      </c>
      <c r="R17" s="339">
        <f t="shared" si="19"/>
        <v>-1</v>
      </c>
    </row>
    <row r="18" spans="1:18" hidden="1" x14ac:dyDescent="0.25">
      <c r="A18" s="444" t="s">
        <v>6</v>
      </c>
      <c r="B18" s="311">
        <f>SUM(B15:B17)</f>
        <v>24</v>
      </c>
      <c r="C18" s="445">
        <f>SUM(C15:C17)</f>
        <v>0</v>
      </c>
      <c r="D18" s="309">
        <f t="shared" si="13"/>
        <v>-1</v>
      </c>
      <c r="E18" s="445">
        <f>SUM(E15:E17)</f>
        <v>0</v>
      </c>
      <c r="F18" s="309">
        <f>((E18/$B18))-1</f>
        <v>-1</v>
      </c>
      <c r="G18" s="445">
        <f>SUM(G15:G17)</f>
        <v>0</v>
      </c>
      <c r="H18" s="309">
        <f t="shared" si="15"/>
        <v>-1</v>
      </c>
      <c r="I18" s="446">
        <f t="shared" si="11"/>
        <v>0</v>
      </c>
      <c r="J18" s="314">
        <f t="shared" si="16"/>
        <v>-1</v>
      </c>
      <c r="K18" s="445">
        <f>SUM(K15:K17)</f>
        <v>0</v>
      </c>
      <c r="L18" s="309">
        <f t="shared" si="12"/>
        <v>-1</v>
      </c>
      <c r="M18" s="445">
        <f>SUM(M15:M17)</f>
        <v>0</v>
      </c>
      <c r="N18" s="309">
        <f>((M18/$B18))-1</f>
        <v>-1</v>
      </c>
      <c r="O18" s="445">
        <f>SUM(O15:O17)</f>
        <v>0</v>
      </c>
      <c r="P18" s="309">
        <f t="shared" si="20"/>
        <v>-1</v>
      </c>
      <c r="Q18" s="446">
        <f t="shared" si="18"/>
        <v>0</v>
      </c>
      <c r="R18" s="314">
        <f t="shared" si="19"/>
        <v>-1</v>
      </c>
    </row>
    <row r="19" spans="1:18" hidden="1" x14ac:dyDescent="0.25"/>
    <row r="20" spans="1:18" hidden="1" x14ac:dyDescent="0.25"/>
    <row r="21" spans="1:18" hidden="1" x14ac:dyDescent="0.25"/>
    <row r="22" spans="1:18" hidden="1" x14ac:dyDescent="0.25"/>
    <row r="23" spans="1:18" hidden="1" x14ac:dyDescent="0.25"/>
    <row r="24" spans="1:18" hidden="1" x14ac:dyDescent="0.25"/>
    <row r="25" spans="1:18" hidden="1" x14ac:dyDescent="0.25"/>
    <row r="26" spans="1:18" hidden="1" x14ac:dyDescent="0.25"/>
    <row r="27" spans="1:18" hidden="1" x14ac:dyDescent="0.25"/>
    <row r="28" spans="1:18" hidden="1" x14ac:dyDescent="0.25"/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</sheetData>
  <mergeCells count="4">
    <mergeCell ref="A5:R5"/>
    <mergeCell ref="A13:R13"/>
    <mergeCell ref="A2:R2"/>
    <mergeCell ref="A3:R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&amp;L&amp;12Fonte: Sistema WEBSAASS / SMS&amp;R&amp;12pag.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3:R18"/>
  <sheetViews>
    <sheetView showGridLines="0" view="pageBreakPreview" zoomScale="90" zoomScaleNormal="100" zoomScaleSheetLayoutView="90" workbookViewId="0">
      <selection activeCell="A6" sqref="A6"/>
    </sheetView>
  </sheetViews>
  <sheetFormatPr defaultColWidth="8.85546875" defaultRowHeight="15" x14ac:dyDescent="0.25"/>
  <cols>
    <col min="1" max="1" width="35" customWidth="1"/>
    <col min="2" max="3" width="9" bestFit="1" customWidth="1"/>
    <col min="4" max="4" width="8.140625" bestFit="1" customWidth="1"/>
    <col min="5" max="5" width="9" bestFit="1" customWidth="1"/>
    <col min="6" max="6" width="7.140625" bestFit="1" customWidth="1"/>
    <col min="7" max="7" width="9" bestFit="1" customWidth="1"/>
    <col min="8" max="8" width="8.140625" bestFit="1" customWidth="1"/>
    <col min="9" max="9" width="9.42578125" customWidth="1"/>
    <col min="10" max="10" width="7.140625" bestFit="1" customWidth="1"/>
    <col min="11" max="11" width="9" bestFit="1" customWidth="1"/>
    <col min="12" max="12" width="8.140625" bestFit="1" customWidth="1"/>
    <col min="13" max="13" width="9" bestFit="1" customWidth="1"/>
    <col min="14" max="14" width="8.140625" bestFit="1" customWidth="1"/>
    <col min="15" max="15" width="9" bestFit="1" customWidth="1"/>
    <col min="16" max="16" width="8.140625" bestFit="1" customWidth="1"/>
    <col min="17" max="17" width="9.7109375" customWidth="1"/>
    <col min="18" max="18" width="8.140625" bestFit="1" customWidth="1"/>
  </cols>
  <sheetData>
    <row r="3" spans="1:18" ht="18" x14ac:dyDescent="0.35">
      <c r="A3" s="602" t="s">
        <v>235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4" spans="1:18" ht="18" x14ac:dyDescent="0.35">
      <c r="A4" s="602" t="s">
        <v>135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</row>
    <row r="6" spans="1:18" ht="15.75" x14ac:dyDescent="0.25">
      <c r="A6" s="603" t="s">
        <v>215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</row>
    <row r="7" spans="1:18" ht="24.75" thickBot="1" x14ac:dyDescent="0.3">
      <c r="A7" s="63" t="s">
        <v>12</v>
      </c>
      <c r="B7" s="64" t="s">
        <v>13</v>
      </c>
      <c r="C7" s="111" t="str">
        <f>'UBS Vila Dalva'!C6</f>
        <v>JUL</v>
      </c>
      <c r="D7" s="112" t="str">
        <f>'UBS Vila Dalva'!D6</f>
        <v>%</v>
      </c>
      <c r="E7" s="111" t="str">
        <f>'UBS Vila Dalva'!E6</f>
        <v>AGO</v>
      </c>
      <c r="F7" s="112" t="str">
        <f>'UBS Vila Dalva'!F6</f>
        <v>%</v>
      </c>
      <c r="G7" s="111" t="str">
        <f>'UBS Vila Dalva'!G6</f>
        <v>SET</v>
      </c>
      <c r="H7" s="112" t="str">
        <f>'UBS Vila Dalva'!H6</f>
        <v>%</v>
      </c>
      <c r="I7" s="113" t="str">
        <f>'UBS Vila Dalva'!I6</f>
        <v>Trimestre</v>
      </c>
      <c r="J7" s="113" t="str">
        <f>'UBS Vila Dalva'!J6</f>
        <v>%</v>
      </c>
      <c r="K7" s="111" t="str">
        <f>'UBS Vila Dalva'!K6</f>
        <v>OUT</v>
      </c>
      <c r="L7" s="112" t="str">
        <f>'UBS Vila Dalva'!L6</f>
        <v>%</v>
      </c>
      <c r="M7" s="111" t="str">
        <f>'UBS Vila Dalva'!M6</f>
        <v>NOV</v>
      </c>
      <c r="N7" s="112" t="str">
        <f>'UBS Vila Dalva'!N6</f>
        <v>%</v>
      </c>
      <c r="O7" s="111" t="str">
        <f>'UBS Vila Dalva'!O6</f>
        <v>DEZ</v>
      </c>
      <c r="P7" s="112" t="str">
        <f>'UBS Vila Dalva'!P6</f>
        <v>%</v>
      </c>
      <c r="Q7" s="113" t="str">
        <f>'UBS Vila Dalva'!Q6</f>
        <v>Trimestre</v>
      </c>
      <c r="R7" s="113" t="str">
        <f>'UBS Vila Dalva'!R6</f>
        <v>%</v>
      </c>
    </row>
    <row r="8" spans="1:18" ht="15.75" thickTop="1" x14ac:dyDescent="0.25">
      <c r="A8" s="367" t="s">
        <v>151</v>
      </c>
      <c r="B8" s="579">
        <v>3600</v>
      </c>
      <c r="C8" s="578">
        <v>2937</v>
      </c>
      <c r="D8" s="580">
        <f>((C8/$B8))-1</f>
        <v>-0.1841666666666667</v>
      </c>
      <c r="E8" s="578">
        <v>2908</v>
      </c>
      <c r="F8" s="580">
        <f>((E8/$B8))-1</f>
        <v>-0.19222222222222218</v>
      </c>
      <c r="G8" s="578">
        <v>2671</v>
      </c>
      <c r="H8" s="580">
        <f>((G8/$B8))-1</f>
        <v>-0.25805555555555559</v>
      </c>
      <c r="I8" s="581">
        <f t="shared" ref="I8:I17" si="0">C8+E8+G8</f>
        <v>8516</v>
      </c>
      <c r="J8" s="582">
        <f>((I8/(3*$B8)))-1</f>
        <v>-0.21148148148148149</v>
      </c>
      <c r="K8" s="578">
        <v>2843</v>
      </c>
      <c r="L8" s="580">
        <f>((K8/$B8))-1</f>
        <v>-0.21027777777777779</v>
      </c>
      <c r="M8" s="578">
        <v>2881</v>
      </c>
      <c r="N8" s="580">
        <f>((M8/$B8))-1</f>
        <v>-0.19972222222222225</v>
      </c>
      <c r="O8" s="578">
        <v>2638</v>
      </c>
      <c r="P8" s="580">
        <f>((O8/$B8))-1</f>
        <v>-0.26722222222222225</v>
      </c>
      <c r="Q8" s="581">
        <f t="shared" ref="Q8:Q17" si="1">K8+M8+O8</f>
        <v>8362</v>
      </c>
      <c r="R8" s="582">
        <f>((Q8/(3*$B8)))-1</f>
        <v>-0.22574074074074069</v>
      </c>
    </row>
    <row r="9" spans="1:18" x14ac:dyDescent="0.25">
      <c r="A9" s="303" t="s">
        <v>152</v>
      </c>
      <c r="B9" s="311">
        <v>1248</v>
      </c>
      <c r="C9" s="305">
        <v>920</v>
      </c>
      <c r="D9" s="309">
        <f t="shared" ref="D9:D17" si="2">((C9/$B9))-1</f>
        <v>-0.26282051282051277</v>
      </c>
      <c r="E9" s="305">
        <v>884</v>
      </c>
      <c r="F9" s="309">
        <f t="shared" ref="F9:F17" si="3">((E9/$B9))-1</f>
        <v>-0.29166666666666663</v>
      </c>
      <c r="G9" s="305">
        <v>644</v>
      </c>
      <c r="H9" s="309">
        <f t="shared" ref="H9:H17" si="4">((G9/$B9))-1</f>
        <v>-0.48397435897435892</v>
      </c>
      <c r="I9" s="307">
        <f t="shared" si="0"/>
        <v>2448</v>
      </c>
      <c r="J9" s="314">
        <f t="shared" ref="J9:J17" si="5">((I9/(3*$B9)))-1</f>
        <v>-0.34615384615384615</v>
      </c>
      <c r="K9" s="305">
        <v>982</v>
      </c>
      <c r="L9" s="309">
        <f t="shared" ref="L9:L17" si="6">((K9/$B9))-1</f>
        <v>-0.21314102564102566</v>
      </c>
      <c r="M9" s="305">
        <v>971</v>
      </c>
      <c r="N9" s="309">
        <f t="shared" ref="N9:N17" si="7">((M9/$B9))-1</f>
        <v>-0.22195512820512819</v>
      </c>
      <c r="O9" s="305">
        <v>1036</v>
      </c>
      <c r="P9" s="309">
        <f t="shared" ref="P9:P17" si="8">((O9/$B9))-1</f>
        <v>-0.16987179487179482</v>
      </c>
      <c r="Q9" s="307">
        <f t="shared" si="1"/>
        <v>2989</v>
      </c>
      <c r="R9" s="314">
        <f t="shared" ref="R9:R18" si="9">((Q9/(3*$B9)))-1</f>
        <v>-0.20165598290598286</v>
      </c>
    </row>
    <row r="10" spans="1:18" x14ac:dyDescent="0.25">
      <c r="A10" s="303" t="s">
        <v>164</v>
      </c>
      <c r="B10" s="311">
        <v>469</v>
      </c>
      <c r="C10" s="305">
        <v>375</v>
      </c>
      <c r="D10" s="309">
        <f t="shared" si="2"/>
        <v>-0.20042643923240944</v>
      </c>
      <c r="E10" s="305">
        <v>299</v>
      </c>
      <c r="F10" s="309">
        <f t="shared" si="3"/>
        <v>-0.36247334754797444</v>
      </c>
      <c r="G10" s="305">
        <v>308</v>
      </c>
      <c r="H10" s="309">
        <f t="shared" si="4"/>
        <v>-0.34328358208955223</v>
      </c>
      <c r="I10" s="307">
        <f t="shared" si="0"/>
        <v>982</v>
      </c>
      <c r="J10" s="314">
        <f t="shared" si="5"/>
        <v>-0.30206112295664533</v>
      </c>
      <c r="K10" s="305">
        <v>338</v>
      </c>
      <c r="L10" s="309">
        <f t="shared" si="6"/>
        <v>-0.27931769722814503</v>
      </c>
      <c r="M10" s="305">
        <v>481</v>
      </c>
      <c r="N10" s="309">
        <f t="shared" si="7"/>
        <v>2.5586353944562878E-2</v>
      </c>
      <c r="O10" s="305">
        <v>439</v>
      </c>
      <c r="P10" s="309">
        <f t="shared" si="8"/>
        <v>-6.3965884861407196E-2</v>
      </c>
      <c r="Q10" s="307">
        <f t="shared" si="1"/>
        <v>1258</v>
      </c>
      <c r="R10" s="314">
        <f t="shared" si="9"/>
        <v>-0.10589907604832982</v>
      </c>
    </row>
    <row r="11" spans="1:18" ht="24" x14ac:dyDescent="0.25">
      <c r="A11" s="438" t="s">
        <v>195</v>
      </c>
      <c r="B11" s="311">
        <v>208</v>
      </c>
      <c r="C11" s="305">
        <v>0</v>
      </c>
      <c r="D11" s="309">
        <f t="shared" si="2"/>
        <v>-1</v>
      </c>
      <c r="E11" s="305">
        <v>108</v>
      </c>
      <c r="F11" s="309">
        <f t="shared" si="3"/>
        <v>-0.48076923076923073</v>
      </c>
      <c r="G11" s="305">
        <v>94</v>
      </c>
      <c r="H11" s="309">
        <f t="shared" si="4"/>
        <v>-0.54807692307692313</v>
      </c>
      <c r="I11" s="307">
        <f t="shared" si="0"/>
        <v>202</v>
      </c>
      <c r="J11" s="314">
        <f t="shared" si="5"/>
        <v>-0.67628205128205132</v>
      </c>
      <c r="K11" s="305">
        <v>102</v>
      </c>
      <c r="L11" s="309">
        <f t="shared" si="6"/>
        <v>-0.50961538461538458</v>
      </c>
      <c r="M11" s="305">
        <v>82</v>
      </c>
      <c r="N11" s="309">
        <f t="shared" si="7"/>
        <v>-0.60576923076923084</v>
      </c>
      <c r="O11" s="305">
        <v>26</v>
      </c>
      <c r="P11" s="309">
        <f t="shared" si="8"/>
        <v>-0.875</v>
      </c>
      <c r="Q11" s="307">
        <f t="shared" si="1"/>
        <v>210</v>
      </c>
      <c r="R11" s="314">
        <f t="shared" si="9"/>
        <v>-0.66346153846153844</v>
      </c>
    </row>
    <row r="12" spans="1:18" x14ac:dyDescent="0.25">
      <c r="A12" s="303" t="s">
        <v>196</v>
      </c>
      <c r="B12" s="311">
        <v>832</v>
      </c>
      <c r="C12" s="305">
        <v>0</v>
      </c>
      <c r="D12" s="309">
        <f t="shared" si="2"/>
        <v>-1</v>
      </c>
      <c r="E12" s="305">
        <v>474</v>
      </c>
      <c r="F12" s="309">
        <f t="shared" si="3"/>
        <v>-0.43028846153846156</v>
      </c>
      <c r="G12" s="305">
        <v>453</v>
      </c>
      <c r="H12" s="309">
        <f t="shared" si="4"/>
        <v>-0.45552884615384615</v>
      </c>
      <c r="I12" s="307">
        <f t="shared" si="0"/>
        <v>927</v>
      </c>
      <c r="J12" s="314">
        <f t="shared" si="5"/>
        <v>-0.62860576923076916</v>
      </c>
      <c r="K12" s="305">
        <v>394</v>
      </c>
      <c r="L12" s="309">
        <f t="shared" si="6"/>
        <v>-0.52644230769230771</v>
      </c>
      <c r="M12" s="305">
        <v>332</v>
      </c>
      <c r="N12" s="309">
        <f t="shared" si="7"/>
        <v>-0.60096153846153844</v>
      </c>
      <c r="O12" s="305">
        <v>111</v>
      </c>
      <c r="P12" s="309">
        <f t="shared" si="8"/>
        <v>-0.86658653846153844</v>
      </c>
      <c r="Q12" s="307">
        <f t="shared" si="1"/>
        <v>837</v>
      </c>
      <c r="R12" s="314">
        <f t="shared" si="9"/>
        <v>-0.66466346153846156</v>
      </c>
    </row>
    <row r="13" spans="1:18" x14ac:dyDescent="0.25">
      <c r="A13" s="303" t="s">
        <v>189</v>
      </c>
      <c r="B13" s="311">
        <v>333</v>
      </c>
      <c r="C13" s="305">
        <v>212</v>
      </c>
      <c r="D13" s="309">
        <f t="shared" si="2"/>
        <v>-0.36336336336336339</v>
      </c>
      <c r="E13" s="305">
        <v>73</v>
      </c>
      <c r="F13" s="309">
        <f t="shared" si="3"/>
        <v>-0.78078078078078073</v>
      </c>
      <c r="G13" s="305">
        <v>104</v>
      </c>
      <c r="H13" s="309">
        <f t="shared" si="4"/>
        <v>-0.68768768768768762</v>
      </c>
      <c r="I13" s="307">
        <f t="shared" si="0"/>
        <v>389</v>
      </c>
      <c r="J13" s="314">
        <f t="shared" si="5"/>
        <v>-0.61061061061061062</v>
      </c>
      <c r="K13" s="305">
        <v>0</v>
      </c>
      <c r="L13" s="309">
        <f t="shared" si="6"/>
        <v>-1</v>
      </c>
      <c r="M13" s="305">
        <v>0</v>
      </c>
      <c r="N13" s="309">
        <f t="shared" si="7"/>
        <v>-1</v>
      </c>
      <c r="O13" s="305">
        <v>0</v>
      </c>
      <c r="P13" s="309">
        <f t="shared" si="8"/>
        <v>-1</v>
      </c>
      <c r="Q13" s="307">
        <f t="shared" si="1"/>
        <v>0</v>
      </c>
      <c r="R13" s="314">
        <f t="shared" si="9"/>
        <v>-1</v>
      </c>
    </row>
    <row r="14" spans="1:18" x14ac:dyDescent="0.25">
      <c r="A14" s="303" t="s">
        <v>169</v>
      </c>
      <c r="B14" s="311">
        <v>999</v>
      </c>
      <c r="C14" s="305">
        <v>712</v>
      </c>
      <c r="D14" s="309">
        <f t="shared" si="2"/>
        <v>-0.28728728728728725</v>
      </c>
      <c r="E14" s="305">
        <v>291</v>
      </c>
      <c r="F14" s="309">
        <f t="shared" si="3"/>
        <v>-0.70870870870870872</v>
      </c>
      <c r="G14" s="305"/>
      <c r="H14" s="309">
        <f t="shared" si="4"/>
        <v>-1</v>
      </c>
      <c r="I14" s="307">
        <f t="shared" si="0"/>
        <v>1003</v>
      </c>
      <c r="J14" s="314">
        <f t="shared" si="5"/>
        <v>-0.66533199866533199</v>
      </c>
      <c r="K14" s="305">
        <v>0</v>
      </c>
      <c r="L14" s="309">
        <f t="shared" si="6"/>
        <v>-1</v>
      </c>
      <c r="M14" s="305">
        <v>0</v>
      </c>
      <c r="N14" s="309">
        <f t="shared" si="7"/>
        <v>-1</v>
      </c>
      <c r="O14" s="305">
        <v>0</v>
      </c>
      <c r="P14" s="309">
        <f t="shared" si="8"/>
        <v>-1</v>
      </c>
      <c r="Q14" s="307">
        <f t="shared" si="1"/>
        <v>0</v>
      </c>
      <c r="R14" s="314">
        <f t="shared" si="9"/>
        <v>-1</v>
      </c>
    </row>
    <row r="15" spans="1:18" x14ac:dyDescent="0.25">
      <c r="A15" s="303" t="s">
        <v>165</v>
      </c>
      <c r="B15" s="311">
        <v>789</v>
      </c>
      <c r="C15" s="305">
        <v>399</v>
      </c>
      <c r="D15" s="309">
        <f t="shared" si="2"/>
        <v>-0.49429657794676807</v>
      </c>
      <c r="E15" s="305">
        <v>436</v>
      </c>
      <c r="F15" s="309">
        <f t="shared" si="3"/>
        <v>-0.44740177439797213</v>
      </c>
      <c r="G15" s="305">
        <v>458</v>
      </c>
      <c r="H15" s="309">
        <f t="shared" si="4"/>
        <v>-0.4195183776932826</v>
      </c>
      <c r="I15" s="307">
        <f t="shared" si="0"/>
        <v>1293</v>
      </c>
      <c r="J15" s="314">
        <f t="shared" si="5"/>
        <v>-0.4537389100126743</v>
      </c>
      <c r="K15" s="305">
        <v>271</v>
      </c>
      <c r="L15" s="309">
        <f t="shared" si="6"/>
        <v>-0.65652724968314324</v>
      </c>
      <c r="M15" s="305">
        <v>498</v>
      </c>
      <c r="N15" s="309">
        <f t="shared" si="7"/>
        <v>-0.36882129277566544</v>
      </c>
      <c r="O15" s="305">
        <v>417</v>
      </c>
      <c r="P15" s="309">
        <f t="shared" si="8"/>
        <v>-0.47148288973384034</v>
      </c>
      <c r="Q15" s="307">
        <f t="shared" si="1"/>
        <v>1186</v>
      </c>
      <c r="R15" s="314">
        <f t="shared" si="9"/>
        <v>-0.49894381073088301</v>
      </c>
    </row>
    <row r="16" spans="1:18" x14ac:dyDescent="0.25">
      <c r="A16" s="303" t="s">
        <v>197</v>
      </c>
      <c r="B16" s="311">
        <v>789</v>
      </c>
      <c r="C16" s="305">
        <v>317</v>
      </c>
      <c r="D16" s="309">
        <f t="shared" si="2"/>
        <v>-0.59822560202788333</v>
      </c>
      <c r="E16" s="305">
        <v>394</v>
      </c>
      <c r="F16" s="309">
        <f t="shared" si="3"/>
        <v>-0.50063371356147024</v>
      </c>
      <c r="G16" s="305">
        <v>395</v>
      </c>
      <c r="H16" s="309">
        <f t="shared" si="4"/>
        <v>-0.49936628643852976</v>
      </c>
      <c r="I16" s="307">
        <f t="shared" si="0"/>
        <v>1106</v>
      </c>
      <c r="J16" s="314">
        <f t="shared" si="5"/>
        <v>-0.53274186734262785</v>
      </c>
      <c r="K16" s="305">
        <v>182</v>
      </c>
      <c r="L16" s="309">
        <f t="shared" si="6"/>
        <v>-0.76932826362484152</v>
      </c>
      <c r="M16" s="305">
        <v>212</v>
      </c>
      <c r="N16" s="309">
        <f t="shared" si="7"/>
        <v>-0.73130544993662872</v>
      </c>
      <c r="O16" s="305">
        <v>187</v>
      </c>
      <c r="P16" s="309">
        <f t="shared" si="8"/>
        <v>-0.76299112801013935</v>
      </c>
      <c r="Q16" s="307">
        <f t="shared" si="1"/>
        <v>581</v>
      </c>
      <c r="R16" s="314">
        <f t="shared" si="9"/>
        <v>-0.7545416138572032</v>
      </c>
    </row>
    <row r="17" spans="1:18" ht="15.75" thickBot="1" x14ac:dyDescent="0.3">
      <c r="A17" s="318" t="s">
        <v>155</v>
      </c>
      <c r="B17" s="376">
        <v>789</v>
      </c>
      <c r="C17" s="326">
        <v>50</v>
      </c>
      <c r="D17" s="327">
        <f t="shared" si="2"/>
        <v>-0.9366286438529785</v>
      </c>
      <c r="E17" s="326">
        <v>12</v>
      </c>
      <c r="F17" s="327">
        <f t="shared" si="3"/>
        <v>-0.98479087452471481</v>
      </c>
      <c r="G17" s="326">
        <v>12</v>
      </c>
      <c r="H17" s="327">
        <f t="shared" si="4"/>
        <v>-0.98479087452471481</v>
      </c>
      <c r="I17" s="328">
        <f t="shared" si="0"/>
        <v>74</v>
      </c>
      <c r="J17" s="329">
        <f t="shared" si="5"/>
        <v>-0.968736797634136</v>
      </c>
      <c r="K17" s="326">
        <v>122</v>
      </c>
      <c r="L17" s="327">
        <f t="shared" si="6"/>
        <v>-0.84537389100126736</v>
      </c>
      <c r="M17" s="326">
        <v>237</v>
      </c>
      <c r="N17" s="327">
        <f t="shared" si="7"/>
        <v>-0.69961977186311786</v>
      </c>
      <c r="O17" s="326">
        <v>213</v>
      </c>
      <c r="P17" s="327">
        <f t="shared" si="8"/>
        <v>-0.73003802281368824</v>
      </c>
      <c r="Q17" s="328">
        <f t="shared" si="1"/>
        <v>572</v>
      </c>
      <c r="R17" s="329">
        <f t="shared" si="9"/>
        <v>-0.75834389522602452</v>
      </c>
    </row>
    <row r="18" spans="1:18" ht="15.75" thickBot="1" x14ac:dyDescent="0.3">
      <c r="A18" s="449" t="s">
        <v>6</v>
      </c>
      <c r="B18" s="450">
        <f>SUM(B8:B17)</f>
        <v>10056</v>
      </c>
      <c r="C18" s="382">
        <f>SUM(C8:C17)</f>
        <v>5922</v>
      </c>
      <c r="D18" s="384">
        <f>((C18/$B18))-1</f>
        <v>-0.41109785202863958</v>
      </c>
      <c r="E18" s="382">
        <f>SUM(E8:E17)</f>
        <v>5879</v>
      </c>
      <c r="F18" s="384">
        <f>((E18/$B18))-1</f>
        <v>-0.41537390612569614</v>
      </c>
      <c r="G18" s="382">
        <f>SUM(G8:G17)</f>
        <v>5139</v>
      </c>
      <c r="H18" s="384">
        <f>((G18/$B18))-1</f>
        <v>-0.48896181384248205</v>
      </c>
      <c r="I18" s="352">
        <f>C18+E18+G18</f>
        <v>16940</v>
      </c>
      <c r="J18" s="451">
        <f>((I18/(3*$B18)))-1</f>
        <v>-0.43847785733227262</v>
      </c>
      <c r="K18" s="382">
        <f>SUM(K8:K17)</f>
        <v>5234</v>
      </c>
      <c r="L18" s="384">
        <f>((K18/$B18))-1</f>
        <v>-0.4795147175815434</v>
      </c>
      <c r="M18" s="382">
        <f>SUM(M8:M17)</f>
        <v>5694</v>
      </c>
      <c r="N18" s="384">
        <f>((M18/$B18))-1</f>
        <v>-0.43377088305489264</v>
      </c>
      <c r="O18" s="382">
        <f>SUM(O8:O17)</f>
        <v>5067</v>
      </c>
      <c r="P18" s="384">
        <f>((O18/$B18))-1</f>
        <v>-0.49612171837708829</v>
      </c>
      <c r="Q18" s="352">
        <f>K18+M18+O18</f>
        <v>15995</v>
      </c>
      <c r="R18" s="584">
        <f t="shared" si="9"/>
        <v>-0.46980243967117474</v>
      </c>
    </row>
  </sheetData>
  <mergeCells count="3">
    <mergeCell ref="A6:R6"/>
    <mergeCell ref="A3:R3"/>
    <mergeCell ref="A4:R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&amp;L&amp;12Fonte: Sistema WEBSAASS / SMS&amp;R&amp;12pag.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2:R39"/>
  <sheetViews>
    <sheetView showGridLines="0" view="pageBreakPreview" zoomScaleNormal="100" zoomScaleSheetLayoutView="100" workbookViewId="0">
      <selection activeCell="A6" sqref="A6"/>
    </sheetView>
  </sheetViews>
  <sheetFormatPr defaultColWidth="8.85546875" defaultRowHeight="15" x14ac:dyDescent="0.25"/>
  <cols>
    <col min="1" max="1" width="35.7109375" customWidth="1"/>
    <col min="3" max="3" width="7.5703125" customWidth="1"/>
    <col min="4" max="4" width="8.140625" bestFit="1" customWidth="1"/>
    <col min="5" max="5" width="7.5703125" customWidth="1"/>
    <col min="6" max="6" width="8.140625" bestFit="1" customWidth="1"/>
    <col min="7" max="7" width="7.5703125" customWidth="1"/>
    <col min="8" max="8" width="8.140625" bestFit="1" customWidth="1"/>
    <col min="9" max="9" width="9.140625" customWidth="1"/>
    <col min="10" max="10" width="8.140625" customWidth="1"/>
    <col min="11" max="11" width="7.5703125" customWidth="1"/>
    <col min="12" max="12" width="8.140625" bestFit="1" customWidth="1"/>
    <col min="13" max="13" width="7.5703125" customWidth="1"/>
    <col min="14" max="14" width="8.140625" bestFit="1" customWidth="1"/>
    <col min="15" max="15" width="7.5703125" customWidth="1"/>
    <col min="16" max="16" width="8.140625" bestFit="1" customWidth="1"/>
    <col min="17" max="17" width="9.85546875" customWidth="1"/>
    <col min="18" max="18" width="8.140625" bestFit="1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5.75" x14ac:dyDescent="0.25">
      <c r="A5" s="603" t="s">
        <v>204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</row>
    <row r="6" spans="1:18" ht="24.75" thickBot="1" x14ac:dyDescent="0.3">
      <c r="A6" s="57" t="s">
        <v>12</v>
      </c>
      <c r="B6" s="340" t="s">
        <v>13</v>
      </c>
      <c r="C6" s="320" t="str">
        <f>'UBS Vila Dalva'!C6</f>
        <v>JUL</v>
      </c>
      <c r="D6" s="321" t="str">
        <f>'UBS Vila Dalva'!D6</f>
        <v>%</v>
      </c>
      <c r="E6" s="320" t="str">
        <f>'UBS Vila Dalva'!E6</f>
        <v>AGO</v>
      </c>
      <c r="F6" s="321" t="str">
        <f>'UBS Vila Dalva'!F6</f>
        <v>%</v>
      </c>
      <c r="G6" s="320" t="str">
        <f>'UBS Vila Dalva'!G6</f>
        <v>SET</v>
      </c>
      <c r="H6" s="321" t="str">
        <f>'UBS Vila Dalva'!H6</f>
        <v>%</v>
      </c>
      <c r="I6" s="322" t="str">
        <f>'UBS Vila Dalva'!I6</f>
        <v>Trimestre</v>
      </c>
      <c r="J6" s="322" t="str">
        <f>'UBS Vila Dalva'!J6</f>
        <v>%</v>
      </c>
      <c r="K6" s="320" t="str">
        <f>'UBS Vila Dalva'!K6</f>
        <v>OUT</v>
      </c>
      <c r="L6" s="321" t="str">
        <f>'UBS Vila Dalva'!L6</f>
        <v>%</v>
      </c>
      <c r="M6" s="320" t="str">
        <f>'UBS Vila Dalva'!M6</f>
        <v>NOV</v>
      </c>
      <c r="N6" s="321" t="str">
        <f>'UBS Vila Dalva'!N6</f>
        <v>%</v>
      </c>
      <c r="O6" s="320" t="str">
        <f>'UBS Vila Dalva'!O6</f>
        <v>DEZ</v>
      </c>
      <c r="P6" s="321" t="str">
        <f>'UBS Vila Dalva'!P6</f>
        <v>%</v>
      </c>
      <c r="Q6" s="322" t="str">
        <f>'UBS Vila Dalva'!Q6</f>
        <v>Trimestre</v>
      </c>
      <c r="R6" s="322" t="str">
        <f>'UBS Vila Dalva'!R6</f>
        <v>%</v>
      </c>
    </row>
    <row r="7" spans="1:18" ht="15.75" thickTop="1" x14ac:dyDescent="0.25">
      <c r="A7" s="319" t="s">
        <v>151</v>
      </c>
      <c r="B7" s="332">
        <v>1200</v>
      </c>
      <c r="C7" s="305">
        <v>1061</v>
      </c>
      <c r="D7" s="309">
        <f>((C7/$B7))-1</f>
        <v>-0.11583333333333334</v>
      </c>
      <c r="E7" s="305">
        <v>1145</v>
      </c>
      <c r="F7" s="309">
        <f>((E7/$B7))-1</f>
        <v>-4.5833333333333282E-2</v>
      </c>
      <c r="G7" s="305">
        <v>1094</v>
      </c>
      <c r="H7" s="309">
        <f>((G7/$B7))-1</f>
        <v>-8.8333333333333375E-2</v>
      </c>
      <c r="I7" s="307">
        <f>C7+E7+G7</f>
        <v>3300</v>
      </c>
      <c r="J7" s="314">
        <f>((I7/(3*$B7)))-1</f>
        <v>-8.333333333333337E-2</v>
      </c>
      <c r="K7" s="305">
        <v>1254</v>
      </c>
      <c r="L7" s="309">
        <f>((K7/$B7))-1</f>
        <v>4.4999999999999929E-2</v>
      </c>
      <c r="M7" s="305">
        <v>933</v>
      </c>
      <c r="N7" s="309">
        <f>((M7/$B7))-1</f>
        <v>-0.22250000000000003</v>
      </c>
      <c r="O7" s="305">
        <v>1443</v>
      </c>
      <c r="P7" s="309">
        <f>((O7/$B7))-1</f>
        <v>0.2024999999999999</v>
      </c>
      <c r="Q7" s="307">
        <f>K7+M7+O7</f>
        <v>3630</v>
      </c>
      <c r="R7" s="314">
        <f>((Q7/(3*$B7)))-1</f>
        <v>8.3333333333333037E-3</v>
      </c>
    </row>
    <row r="8" spans="1:18" x14ac:dyDescent="0.25">
      <c r="A8" s="319" t="s">
        <v>152</v>
      </c>
      <c r="B8" s="332">
        <v>416</v>
      </c>
      <c r="C8" s="305">
        <v>534</v>
      </c>
      <c r="D8" s="309">
        <f t="shared" ref="D8:D18" si="0">((C8/$B8))-1</f>
        <v>0.28365384615384626</v>
      </c>
      <c r="E8" s="305">
        <v>689</v>
      </c>
      <c r="F8" s="309">
        <f t="shared" ref="F8:F18" si="1">((E8/$B8))-1</f>
        <v>0.65625</v>
      </c>
      <c r="G8" s="305">
        <v>429</v>
      </c>
      <c r="H8" s="309">
        <f t="shared" ref="H8:H18" si="2">((G8/$B8))-1</f>
        <v>3.125E-2</v>
      </c>
      <c r="I8" s="307">
        <f t="shared" ref="I8:I18" si="3">C8+E8+G8</f>
        <v>1652</v>
      </c>
      <c r="J8" s="314">
        <f t="shared" ref="J8:J18" si="4">((I8/(3*$B8)))-1</f>
        <v>0.32371794871794868</v>
      </c>
      <c r="K8" s="305">
        <v>188</v>
      </c>
      <c r="L8" s="309">
        <f t="shared" ref="L8:L18" si="5">((K8/$B8))-1</f>
        <v>-0.54807692307692313</v>
      </c>
      <c r="M8" s="305">
        <v>503</v>
      </c>
      <c r="N8" s="309">
        <f t="shared" ref="N8:N18" si="6">((M8/$B8))-1</f>
        <v>0.20913461538461542</v>
      </c>
      <c r="O8" s="305">
        <v>535</v>
      </c>
      <c r="P8" s="309">
        <f t="shared" ref="P8:P18" si="7">((O8/$B8))-1</f>
        <v>0.28605769230769229</v>
      </c>
      <c r="Q8" s="307">
        <f t="shared" ref="Q8:Q18" si="8">K8+M8+O8</f>
        <v>1226</v>
      </c>
      <c r="R8" s="314">
        <f t="shared" ref="R8:R18" si="9">((Q8/(3*$B8)))-1</f>
        <v>-1.7628205128205177E-2</v>
      </c>
    </row>
    <row r="9" spans="1:18" x14ac:dyDescent="0.25">
      <c r="A9" s="575" t="s">
        <v>164</v>
      </c>
      <c r="B9" s="332">
        <v>156</v>
      </c>
      <c r="C9" s="305">
        <v>276</v>
      </c>
      <c r="D9" s="309">
        <f t="shared" si="0"/>
        <v>0.76923076923076916</v>
      </c>
      <c r="E9" s="305">
        <v>402</v>
      </c>
      <c r="F9" s="309">
        <f t="shared" si="1"/>
        <v>1.5769230769230771</v>
      </c>
      <c r="G9" s="305">
        <v>322</v>
      </c>
      <c r="H9" s="309">
        <f t="shared" si="2"/>
        <v>1.0641025641025643</v>
      </c>
      <c r="I9" s="307">
        <f t="shared" si="3"/>
        <v>1000</v>
      </c>
      <c r="J9" s="314">
        <f t="shared" si="4"/>
        <v>1.1367521367521367</v>
      </c>
      <c r="K9" s="305">
        <v>223</v>
      </c>
      <c r="L9" s="309">
        <f t="shared" si="5"/>
        <v>0.42948717948717952</v>
      </c>
      <c r="M9" s="305">
        <v>204</v>
      </c>
      <c r="N9" s="309">
        <f t="shared" si="6"/>
        <v>0.30769230769230771</v>
      </c>
      <c r="O9" s="305">
        <v>245</v>
      </c>
      <c r="P9" s="309">
        <f t="shared" si="7"/>
        <v>0.57051282051282048</v>
      </c>
      <c r="Q9" s="307">
        <f t="shared" si="8"/>
        <v>672</v>
      </c>
      <c r="R9" s="314">
        <f t="shared" si="9"/>
        <v>0.4358974358974359</v>
      </c>
    </row>
    <row r="10" spans="1:18" x14ac:dyDescent="0.25">
      <c r="A10" s="303" t="s">
        <v>198</v>
      </c>
      <c r="B10" s="341">
        <v>260</v>
      </c>
      <c r="C10" s="586"/>
      <c r="D10" s="309">
        <f t="shared" si="0"/>
        <v>-1</v>
      </c>
      <c r="E10" s="586"/>
      <c r="F10" s="309">
        <f t="shared" si="1"/>
        <v>-1</v>
      </c>
      <c r="G10" s="326">
        <v>186</v>
      </c>
      <c r="H10" s="327">
        <f t="shared" si="2"/>
        <v>-0.2846153846153846</v>
      </c>
      <c r="I10" s="328">
        <f t="shared" si="3"/>
        <v>186</v>
      </c>
      <c r="J10" s="329">
        <f t="shared" si="4"/>
        <v>-0.7615384615384615</v>
      </c>
      <c r="K10" s="326">
        <v>217</v>
      </c>
      <c r="L10" s="327">
        <f t="shared" si="5"/>
        <v>-0.16538461538461535</v>
      </c>
      <c r="M10" s="326">
        <v>257</v>
      </c>
      <c r="N10" s="327">
        <f t="shared" si="6"/>
        <v>-1.1538461538461497E-2</v>
      </c>
      <c r="O10" s="326"/>
      <c r="P10" s="327">
        <f t="shared" si="7"/>
        <v>-1</v>
      </c>
      <c r="Q10" s="328">
        <f t="shared" si="8"/>
        <v>474</v>
      </c>
      <c r="R10" s="329">
        <f t="shared" si="9"/>
        <v>-0.39230769230769236</v>
      </c>
    </row>
    <row r="11" spans="1:18" x14ac:dyDescent="0.25">
      <c r="A11" s="303" t="s">
        <v>202</v>
      </c>
      <c r="B11" s="341">
        <v>104</v>
      </c>
      <c r="C11" s="586"/>
      <c r="D11" s="309">
        <f t="shared" si="0"/>
        <v>-1</v>
      </c>
      <c r="E11" s="586"/>
      <c r="F11" s="309">
        <f t="shared" si="1"/>
        <v>-1</v>
      </c>
      <c r="G11" s="326">
        <v>299</v>
      </c>
      <c r="H11" s="327">
        <f t="shared" si="2"/>
        <v>1.875</v>
      </c>
      <c r="I11" s="328">
        <f t="shared" si="3"/>
        <v>299</v>
      </c>
      <c r="J11" s="329">
        <f t="shared" si="4"/>
        <v>-4.166666666666663E-2</v>
      </c>
      <c r="K11" s="326">
        <v>85</v>
      </c>
      <c r="L11" s="327">
        <f t="shared" si="5"/>
        <v>-0.18269230769230771</v>
      </c>
      <c r="M11" s="326">
        <v>0</v>
      </c>
      <c r="N11" s="327">
        <f t="shared" si="6"/>
        <v>-1</v>
      </c>
      <c r="O11" s="326"/>
      <c r="P11" s="327">
        <f t="shared" si="7"/>
        <v>-1</v>
      </c>
      <c r="Q11" s="328">
        <f t="shared" si="8"/>
        <v>85</v>
      </c>
      <c r="R11" s="329">
        <f t="shared" si="9"/>
        <v>-0.72756410256410264</v>
      </c>
    </row>
    <row r="12" spans="1:18" x14ac:dyDescent="0.25">
      <c r="A12" s="303" t="s">
        <v>199</v>
      </c>
      <c r="B12" s="332">
        <v>333</v>
      </c>
      <c r="C12" s="587"/>
      <c r="D12" s="309">
        <f t="shared" si="0"/>
        <v>-1</v>
      </c>
      <c r="E12" s="587"/>
      <c r="F12" s="309">
        <f t="shared" si="1"/>
        <v>-1</v>
      </c>
      <c r="G12" s="305">
        <v>210</v>
      </c>
      <c r="H12" s="309">
        <f t="shared" si="2"/>
        <v>-0.36936936936936937</v>
      </c>
      <c r="I12" s="328">
        <f t="shared" si="3"/>
        <v>210</v>
      </c>
      <c r="J12" s="329">
        <f t="shared" si="4"/>
        <v>-0.78978978978978975</v>
      </c>
      <c r="K12" s="305">
        <v>302</v>
      </c>
      <c r="L12" s="309">
        <f t="shared" si="5"/>
        <v>-9.3093093093093104E-2</v>
      </c>
      <c r="M12" s="305">
        <v>233</v>
      </c>
      <c r="N12" s="309">
        <f t="shared" si="6"/>
        <v>-0.3003003003003003</v>
      </c>
      <c r="O12" s="305"/>
      <c r="P12" s="309">
        <f t="shared" si="7"/>
        <v>-1</v>
      </c>
      <c r="Q12" s="328">
        <f t="shared" si="8"/>
        <v>535</v>
      </c>
      <c r="R12" s="329">
        <f t="shared" si="9"/>
        <v>-0.46446446446446443</v>
      </c>
    </row>
    <row r="13" spans="1:18" x14ac:dyDescent="0.25">
      <c r="A13" s="303" t="s">
        <v>189</v>
      </c>
      <c r="B13" s="332">
        <v>333</v>
      </c>
      <c r="C13" s="305">
        <v>247</v>
      </c>
      <c r="D13" s="309">
        <f t="shared" si="0"/>
        <v>-0.25825825825825821</v>
      </c>
      <c r="E13" s="305">
        <v>285</v>
      </c>
      <c r="F13" s="309">
        <f t="shared" si="1"/>
        <v>-0.14414414414414412</v>
      </c>
      <c r="G13" s="305">
        <v>228</v>
      </c>
      <c r="H13" s="309">
        <f t="shared" si="2"/>
        <v>-0.31531531531531531</v>
      </c>
      <c r="I13" s="328">
        <f>C13+E13+G13</f>
        <v>760</v>
      </c>
      <c r="J13" s="329">
        <f t="shared" si="4"/>
        <v>-0.23923923923923929</v>
      </c>
      <c r="K13" s="305">
        <v>189</v>
      </c>
      <c r="L13" s="309">
        <f t="shared" si="5"/>
        <v>-0.43243243243243246</v>
      </c>
      <c r="M13" s="305">
        <v>0</v>
      </c>
      <c r="N13" s="309">
        <f t="shared" si="6"/>
        <v>-1</v>
      </c>
      <c r="O13" s="305">
        <v>70</v>
      </c>
      <c r="P13" s="309">
        <f t="shared" si="7"/>
        <v>-0.78978978978978975</v>
      </c>
      <c r="Q13" s="328">
        <f t="shared" si="8"/>
        <v>259</v>
      </c>
      <c r="R13" s="329">
        <f t="shared" si="9"/>
        <v>-0.7407407407407407</v>
      </c>
    </row>
    <row r="14" spans="1:18" x14ac:dyDescent="0.25">
      <c r="A14" s="303" t="s">
        <v>200</v>
      </c>
      <c r="B14" s="332">
        <v>1332</v>
      </c>
      <c r="C14" s="305">
        <v>345</v>
      </c>
      <c r="D14" s="309">
        <f t="shared" si="0"/>
        <v>-0.74099099099099097</v>
      </c>
      <c r="E14" s="305">
        <v>358</v>
      </c>
      <c r="F14" s="309">
        <f t="shared" si="1"/>
        <v>-0.73123123123123124</v>
      </c>
      <c r="G14" s="305">
        <v>420</v>
      </c>
      <c r="H14" s="309">
        <f t="shared" si="2"/>
        <v>-0.68468468468468469</v>
      </c>
      <c r="I14" s="328">
        <f>C14+E14+G14</f>
        <v>1123</v>
      </c>
      <c r="J14" s="329">
        <f t="shared" si="4"/>
        <v>-0.71896896896896889</v>
      </c>
      <c r="K14" s="305">
        <v>407</v>
      </c>
      <c r="L14" s="309">
        <f t="shared" si="5"/>
        <v>-0.69444444444444442</v>
      </c>
      <c r="M14" s="305">
        <v>0</v>
      </c>
      <c r="N14" s="309">
        <f t="shared" si="6"/>
        <v>-1</v>
      </c>
      <c r="O14" s="305">
        <v>19</v>
      </c>
      <c r="P14" s="309">
        <f t="shared" si="7"/>
        <v>-0.9857357357357357</v>
      </c>
      <c r="Q14" s="328">
        <f t="shared" si="8"/>
        <v>426</v>
      </c>
      <c r="R14" s="329">
        <f t="shared" si="9"/>
        <v>-0.89339339339339341</v>
      </c>
    </row>
    <row r="15" spans="1:18" x14ac:dyDescent="0.25">
      <c r="A15" s="303" t="s">
        <v>165</v>
      </c>
      <c r="B15" s="332">
        <v>526</v>
      </c>
      <c r="C15" s="305">
        <v>0</v>
      </c>
      <c r="D15" s="309">
        <f t="shared" si="0"/>
        <v>-1</v>
      </c>
      <c r="E15" s="305">
        <v>261</v>
      </c>
      <c r="F15" s="309">
        <f t="shared" si="1"/>
        <v>-0.50380228136882121</v>
      </c>
      <c r="G15" s="305">
        <v>220</v>
      </c>
      <c r="H15" s="309">
        <f t="shared" si="2"/>
        <v>-0.58174904942965777</v>
      </c>
      <c r="I15" s="328">
        <f>C15+E15+G15</f>
        <v>481</v>
      </c>
      <c r="J15" s="329">
        <f t="shared" si="4"/>
        <v>-0.6951837769328264</v>
      </c>
      <c r="K15" s="305">
        <v>226</v>
      </c>
      <c r="L15" s="309">
        <f t="shared" si="5"/>
        <v>-0.57034220532319391</v>
      </c>
      <c r="M15" s="305">
        <v>238</v>
      </c>
      <c r="N15" s="309">
        <f t="shared" si="6"/>
        <v>-0.54752851711026618</v>
      </c>
      <c r="O15" s="305">
        <v>231</v>
      </c>
      <c r="P15" s="309">
        <f t="shared" si="7"/>
        <v>-0.56083650190114076</v>
      </c>
      <c r="Q15" s="328">
        <f t="shared" si="8"/>
        <v>695</v>
      </c>
      <c r="R15" s="329">
        <f t="shared" si="9"/>
        <v>-0.55956907477820028</v>
      </c>
    </row>
    <row r="16" spans="1:18" x14ac:dyDescent="0.25">
      <c r="A16" s="303" t="s">
        <v>156</v>
      </c>
      <c r="B16" s="332">
        <v>526</v>
      </c>
      <c r="C16" s="305">
        <v>202</v>
      </c>
      <c r="D16" s="309">
        <f t="shared" si="0"/>
        <v>-0.61596958174904937</v>
      </c>
      <c r="E16" s="305">
        <v>317</v>
      </c>
      <c r="F16" s="309">
        <f t="shared" si="1"/>
        <v>-0.39733840304182511</v>
      </c>
      <c r="G16" s="305">
        <v>237</v>
      </c>
      <c r="H16" s="309">
        <f t="shared" si="2"/>
        <v>-0.54942965779467678</v>
      </c>
      <c r="I16" s="328">
        <f t="shared" si="3"/>
        <v>756</v>
      </c>
      <c r="J16" s="329">
        <f t="shared" si="4"/>
        <v>-0.52091254752851712</v>
      </c>
      <c r="K16" s="305">
        <v>196</v>
      </c>
      <c r="L16" s="309">
        <f t="shared" si="5"/>
        <v>-0.62737642585551323</v>
      </c>
      <c r="M16" s="305">
        <v>213</v>
      </c>
      <c r="N16" s="309">
        <f t="shared" si="6"/>
        <v>-0.59505703422053235</v>
      </c>
      <c r="O16" s="305">
        <v>321</v>
      </c>
      <c r="P16" s="309">
        <f t="shared" si="7"/>
        <v>-0.38973384030418246</v>
      </c>
      <c r="Q16" s="328">
        <f t="shared" si="8"/>
        <v>730</v>
      </c>
      <c r="R16" s="329">
        <f t="shared" si="9"/>
        <v>-0.53738910012674279</v>
      </c>
    </row>
    <row r="17" spans="1:18" x14ac:dyDescent="0.25">
      <c r="A17" s="303" t="s">
        <v>155</v>
      </c>
      <c r="B17" s="332">
        <v>789</v>
      </c>
      <c r="C17" s="305">
        <v>439</v>
      </c>
      <c r="D17" s="309">
        <f t="shared" si="0"/>
        <v>-0.4435994930291508</v>
      </c>
      <c r="E17" s="305">
        <v>522</v>
      </c>
      <c r="F17" s="309">
        <f t="shared" si="1"/>
        <v>-0.33840304182509506</v>
      </c>
      <c r="G17" s="305">
        <v>501</v>
      </c>
      <c r="H17" s="309">
        <f t="shared" si="2"/>
        <v>-0.36501901140684412</v>
      </c>
      <c r="I17" s="328">
        <f t="shared" si="3"/>
        <v>1462</v>
      </c>
      <c r="J17" s="329">
        <f t="shared" si="4"/>
        <v>-0.38234051542036329</v>
      </c>
      <c r="K17" s="305">
        <v>394</v>
      </c>
      <c r="L17" s="309">
        <f t="shared" si="5"/>
        <v>-0.50063371356147024</v>
      </c>
      <c r="M17" s="305">
        <v>549</v>
      </c>
      <c r="N17" s="309">
        <f t="shared" si="6"/>
        <v>-0.30418250950570347</v>
      </c>
      <c r="O17" s="305">
        <v>495</v>
      </c>
      <c r="P17" s="309">
        <f t="shared" si="7"/>
        <v>-0.37262357414448666</v>
      </c>
      <c r="Q17" s="328">
        <f t="shared" si="8"/>
        <v>1438</v>
      </c>
      <c r="R17" s="329">
        <f t="shared" si="9"/>
        <v>-0.39247993240388679</v>
      </c>
    </row>
    <row r="18" spans="1:18" ht="15.75" thickBot="1" x14ac:dyDescent="0.3">
      <c r="A18" s="318" t="s">
        <v>201</v>
      </c>
      <c r="B18" s="341">
        <v>166</v>
      </c>
      <c r="C18" s="326">
        <v>0</v>
      </c>
      <c r="D18" s="327">
        <f t="shared" si="0"/>
        <v>-1</v>
      </c>
      <c r="E18" s="326">
        <v>0</v>
      </c>
      <c r="F18" s="327">
        <f t="shared" si="1"/>
        <v>-1</v>
      </c>
      <c r="G18" s="326">
        <v>41</v>
      </c>
      <c r="H18" s="360">
        <f t="shared" si="2"/>
        <v>-0.75301204819277112</v>
      </c>
      <c r="I18" s="328">
        <f t="shared" si="3"/>
        <v>41</v>
      </c>
      <c r="J18" s="330">
        <f t="shared" si="4"/>
        <v>-0.91767068273092367</v>
      </c>
      <c r="K18" s="326">
        <v>82</v>
      </c>
      <c r="L18" s="327">
        <f t="shared" si="5"/>
        <v>-0.50602409638554224</v>
      </c>
      <c r="M18" s="326">
        <v>95</v>
      </c>
      <c r="N18" s="327">
        <f t="shared" si="6"/>
        <v>-0.42771084337349397</v>
      </c>
      <c r="O18" s="326">
        <v>80</v>
      </c>
      <c r="P18" s="360">
        <f t="shared" si="7"/>
        <v>-0.51807228915662651</v>
      </c>
      <c r="Q18" s="328">
        <f t="shared" si="8"/>
        <v>257</v>
      </c>
      <c r="R18" s="330">
        <f t="shared" si="9"/>
        <v>-0.48393574297188757</v>
      </c>
    </row>
    <row r="19" spans="1:18" ht="15.75" thickBot="1" x14ac:dyDescent="0.3">
      <c r="A19" s="44" t="s">
        <v>6</v>
      </c>
      <c r="B19" s="350">
        <f>SUM(B7:B18)</f>
        <v>6141</v>
      </c>
      <c r="C19" s="48">
        <f>SUM(C7:C18)</f>
        <v>3104</v>
      </c>
      <c r="D19" s="52">
        <f>((C19/$B19))-1</f>
        <v>-0.49454486240026052</v>
      </c>
      <c r="E19" s="48">
        <f>SUM(E7:E18)</f>
        <v>3979</v>
      </c>
      <c r="F19" s="52">
        <f>((E19/$B19))-1</f>
        <v>-0.35205992509363293</v>
      </c>
      <c r="G19" s="48">
        <f>SUM(G7:G18)</f>
        <v>4187</v>
      </c>
      <c r="H19" s="351">
        <f>((G19/$B19))-1</f>
        <v>-0.31818921999674321</v>
      </c>
      <c r="I19" s="352">
        <f>C19+E19+G19</f>
        <v>11270</v>
      </c>
      <c r="J19" s="353">
        <f>((I19/(3*$B19)))-1</f>
        <v>-0.38826466916354552</v>
      </c>
      <c r="K19" s="48">
        <f>SUM(K7:K18)</f>
        <v>3763</v>
      </c>
      <c r="L19" s="52">
        <f>((K19/$B19))-1</f>
        <v>-0.38723334961732614</v>
      </c>
      <c r="M19" s="48">
        <f>SUM(M7:M18)</f>
        <v>3225</v>
      </c>
      <c r="N19" s="52">
        <f>((M19/$B19))-1</f>
        <v>-0.47484123106985832</v>
      </c>
      <c r="O19" s="48">
        <f>SUM(O7:O18)</f>
        <v>3439</v>
      </c>
      <c r="P19" s="351">
        <f>((O19/$B19))-1</f>
        <v>-0.43999348640286595</v>
      </c>
      <c r="Q19" s="352">
        <f>K19+M19+O19</f>
        <v>10427</v>
      </c>
      <c r="R19" s="361">
        <f>((Q19/(3*$B19)))-1</f>
        <v>-0.43402268903001684</v>
      </c>
    </row>
    <row r="20" spans="1:18" x14ac:dyDescent="0.25">
      <c r="B20" s="26"/>
    </row>
    <row r="22" spans="1:18" ht="15.75" hidden="1" x14ac:dyDescent="0.25">
      <c r="A22" s="607" t="s">
        <v>203</v>
      </c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</row>
    <row r="23" spans="1:18" ht="24.75" hidden="1" thickBot="1" x14ac:dyDescent="0.3">
      <c r="A23" s="55" t="s">
        <v>12</v>
      </c>
      <c r="B23" s="56" t="s">
        <v>13</v>
      </c>
      <c r="C23" s="111" t="str">
        <f>'UBS Vila Dalva'!C6</f>
        <v>JUL</v>
      </c>
      <c r="D23" s="112" t="str">
        <f>'UBS Vila Dalva'!D6</f>
        <v>%</v>
      </c>
      <c r="E23" s="111" t="str">
        <f>'UBS Vila Dalva'!E6</f>
        <v>AGO</v>
      </c>
      <c r="F23" s="112" t="str">
        <f>'UBS Vila Dalva'!F6</f>
        <v>%</v>
      </c>
      <c r="G23" s="111" t="str">
        <f>'UBS Vila Dalva'!G6</f>
        <v>SET</v>
      </c>
      <c r="H23" s="112" t="str">
        <f>'UBS Vila Dalva'!H6</f>
        <v>%</v>
      </c>
      <c r="I23" s="113" t="str">
        <f>'UBS Vila Dalva'!I6</f>
        <v>Trimestre</v>
      </c>
      <c r="J23" s="113" t="str">
        <f>'UBS Vila Dalva'!J6</f>
        <v>%</v>
      </c>
      <c r="K23" s="111" t="str">
        <f>'UBS Vila Dalva'!K6</f>
        <v>OUT</v>
      </c>
      <c r="L23" s="112" t="str">
        <f>'UBS Vila Dalva'!L6</f>
        <v>%</v>
      </c>
      <c r="M23" s="111" t="str">
        <f>'UBS Vila Dalva'!M6</f>
        <v>NOV</v>
      </c>
      <c r="N23" s="112" t="str">
        <f>'UBS Vila Dalva'!N6</f>
        <v>%</v>
      </c>
      <c r="O23" s="111" t="str">
        <f>'UBS Vila Dalva'!O6</f>
        <v>DEZ</v>
      </c>
      <c r="P23" s="112" t="str">
        <f>'UBS Vila Dalva'!P6</f>
        <v>%</v>
      </c>
      <c r="Q23" s="113" t="str">
        <f>'UBS Vila Dalva'!Q6</f>
        <v>Trimestre</v>
      </c>
      <c r="R23" s="113" t="str">
        <f>'UBS Vila Dalva'!R6</f>
        <v>%</v>
      </c>
    </row>
    <row r="24" spans="1:18" ht="15.75" hidden="1" thickTop="1" x14ac:dyDescent="0.25">
      <c r="A24" s="49" t="s">
        <v>145</v>
      </c>
      <c r="B24" s="3">
        <v>6</v>
      </c>
      <c r="C24" s="194"/>
      <c r="D24" s="7">
        <f>((C24/$B24))-1</f>
        <v>-1</v>
      </c>
      <c r="E24" s="194"/>
      <c r="F24" s="7">
        <f>((E24/$B24))-1</f>
        <v>-1</v>
      </c>
      <c r="G24" s="194"/>
      <c r="H24" s="7">
        <f>((G24/$B24))-1</f>
        <v>-1</v>
      </c>
      <c r="I24" s="5">
        <f t="shared" ref="I24:I37" si="10">C24+E24+G24</f>
        <v>0</v>
      </c>
      <c r="J24" s="8">
        <f>((I24/(3*$B24)))-1</f>
        <v>-1</v>
      </c>
      <c r="K24" s="194"/>
      <c r="L24" s="7">
        <f>((K24/$B24))-1</f>
        <v>-1</v>
      </c>
      <c r="M24" s="194"/>
      <c r="N24" s="7">
        <f>((M24/$B24))-1</f>
        <v>-1</v>
      </c>
      <c r="O24" s="194"/>
      <c r="P24" s="7">
        <f>((O24/$B24))-1</f>
        <v>-1</v>
      </c>
      <c r="Q24" s="5">
        <f t="shared" ref="Q24:Q37" si="11">K24+M24+O24</f>
        <v>0</v>
      </c>
      <c r="R24" s="8">
        <f>((Q24/(3*$B24)))-1</f>
        <v>-1</v>
      </c>
    </row>
    <row r="25" spans="1:18" hidden="1" x14ac:dyDescent="0.25">
      <c r="A25" s="49" t="s">
        <v>158</v>
      </c>
      <c r="B25" s="3">
        <v>1</v>
      </c>
      <c r="C25" s="194"/>
      <c r="D25" s="7">
        <f>((C25/$B25))-1</f>
        <v>-1</v>
      </c>
      <c r="E25" s="194"/>
      <c r="F25" s="7">
        <f>((E25/$B25))-1</f>
        <v>-1</v>
      </c>
      <c r="G25" s="194"/>
      <c r="H25" s="7">
        <f>((G25/$B25))-1</f>
        <v>-1</v>
      </c>
      <c r="I25" s="5">
        <f t="shared" si="10"/>
        <v>0</v>
      </c>
      <c r="J25" s="8">
        <f>((I25/(3*$B25)))-1</f>
        <v>-1</v>
      </c>
      <c r="K25" s="194"/>
      <c r="L25" s="7">
        <f>((K25/$B25))-1</f>
        <v>-1</v>
      </c>
      <c r="M25" s="194"/>
      <c r="N25" s="7">
        <f>((M25/$B25))-1</f>
        <v>-1</v>
      </c>
      <c r="O25" s="194"/>
      <c r="P25" s="7">
        <f>((O25/$B25))-1</f>
        <v>-1</v>
      </c>
      <c r="Q25" s="5">
        <f t="shared" si="11"/>
        <v>0</v>
      </c>
      <c r="R25" s="8">
        <f>((Q25/(3*$B25)))-1</f>
        <v>-1</v>
      </c>
    </row>
    <row r="26" spans="1:18" hidden="1" x14ac:dyDescent="0.25">
      <c r="A26" s="49" t="s">
        <v>176</v>
      </c>
      <c r="B26" s="58">
        <v>1</v>
      </c>
      <c r="C26" s="93"/>
      <c r="D26" s="7">
        <f t="shared" ref="D26:D37" si="12">((C26/$B26))-1</f>
        <v>-1</v>
      </c>
      <c r="E26" s="285"/>
      <c r="F26" s="7">
        <f t="shared" ref="F26:F37" si="13">((E26/$B26))-1</f>
        <v>-1</v>
      </c>
      <c r="G26" s="285"/>
      <c r="H26" s="7">
        <f t="shared" ref="H26:H37" si="14">((G26/$B26))-1</f>
        <v>-1</v>
      </c>
      <c r="I26" s="5">
        <f t="shared" si="10"/>
        <v>0</v>
      </c>
      <c r="J26" s="8">
        <f t="shared" ref="J26:J37" si="15">((I26/(3*$B26)))-1</f>
        <v>-1</v>
      </c>
      <c r="K26" s="285"/>
      <c r="L26" s="7">
        <f t="shared" ref="L26:L37" si="16">((K26/$B26))-1</f>
        <v>-1</v>
      </c>
      <c r="M26" s="285"/>
      <c r="N26" s="7">
        <f t="shared" ref="N26:N37" si="17">((M26/$B26))-1</f>
        <v>-1</v>
      </c>
      <c r="O26" s="285"/>
      <c r="P26" s="7">
        <f t="shared" ref="P26:P37" si="18">((O26/$B26))-1</f>
        <v>-1</v>
      </c>
      <c r="Q26" s="5">
        <f t="shared" si="11"/>
        <v>0</v>
      </c>
      <c r="R26" s="8">
        <f t="shared" ref="R26:R37" si="19">((Q26/(3*$B26)))-1</f>
        <v>-1</v>
      </c>
    </row>
    <row r="27" spans="1:18" hidden="1" x14ac:dyDescent="0.25">
      <c r="A27" s="43" t="s">
        <v>217</v>
      </c>
      <c r="B27" s="312">
        <v>2</v>
      </c>
      <c r="C27" s="299"/>
      <c r="D27" s="41">
        <f t="shared" si="12"/>
        <v>-1</v>
      </c>
      <c r="E27" s="299"/>
      <c r="F27" s="41">
        <f t="shared" si="13"/>
        <v>-1</v>
      </c>
      <c r="G27" s="299"/>
      <c r="H27" s="41">
        <f t="shared" si="14"/>
        <v>-1</v>
      </c>
      <c r="I27" s="297">
        <f t="shared" si="10"/>
        <v>0</v>
      </c>
      <c r="J27" s="291">
        <f t="shared" si="15"/>
        <v>-1</v>
      </c>
      <c r="K27" s="299"/>
      <c r="L27" s="41">
        <f t="shared" si="16"/>
        <v>-1</v>
      </c>
      <c r="M27" s="299"/>
      <c r="N27" s="183">
        <f t="shared" si="17"/>
        <v>-1</v>
      </c>
      <c r="O27" s="299"/>
      <c r="P27" s="183">
        <f t="shared" si="18"/>
        <v>-1</v>
      </c>
      <c r="Q27" s="297">
        <f t="shared" si="11"/>
        <v>0</v>
      </c>
      <c r="R27" s="291">
        <f t="shared" si="19"/>
        <v>-1</v>
      </c>
    </row>
    <row r="28" spans="1:18" hidden="1" x14ac:dyDescent="0.25">
      <c r="A28" s="303" t="s">
        <v>218</v>
      </c>
      <c r="B28" s="311">
        <v>1</v>
      </c>
      <c r="C28" s="305"/>
      <c r="D28" s="309">
        <f t="shared" si="12"/>
        <v>-1</v>
      </c>
      <c r="E28" s="305"/>
      <c r="F28" s="309">
        <f t="shared" si="13"/>
        <v>-1</v>
      </c>
      <c r="G28" s="305"/>
      <c r="H28" s="309">
        <f t="shared" si="14"/>
        <v>-1</v>
      </c>
      <c r="I28" s="307">
        <f t="shared" si="10"/>
        <v>0</v>
      </c>
      <c r="J28" s="314">
        <f t="shared" si="15"/>
        <v>-1</v>
      </c>
      <c r="K28" s="305"/>
      <c r="L28" s="309">
        <f t="shared" si="16"/>
        <v>-1</v>
      </c>
      <c r="M28" s="305"/>
      <c r="N28" s="309">
        <f t="shared" si="17"/>
        <v>-1</v>
      </c>
      <c r="O28" s="305"/>
      <c r="P28" s="309">
        <f t="shared" si="18"/>
        <v>-1</v>
      </c>
      <c r="Q28" s="307">
        <f t="shared" si="11"/>
        <v>0</v>
      </c>
      <c r="R28" s="314">
        <f t="shared" si="19"/>
        <v>-1</v>
      </c>
    </row>
    <row r="29" spans="1:18" hidden="1" x14ac:dyDescent="0.25">
      <c r="A29" s="303" t="s">
        <v>216</v>
      </c>
      <c r="B29" s="311">
        <v>1</v>
      </c>
      <c r="C29" s="305"/>
      <c r="D29" s="309">
        <f t="shared" si="12"/>
        <v>-1</v>
      </c>
      <c r="E29" s="305"/>
      <c r="F29" s="309">
        <f t="shared" si="13"/>
        <v>-1</v>
      </c>
      <c r="G29" s="305"/>
      <c r="H29" s="309">
        <f t="shared" si="14"/>
        <v>-1</v>
      </c>
      <c r="I29" s="307">
        <f t="shared" si="10"/>
        <v>0</v>
      </c>
      <c r="J29" s="314">
        <f t="shared" si="15"/>
        <v>-1</v>
      </c>
      <c r="K29" s="305"/>
      <c r="L29" s="309">
        <f t="shared" si="16"/>
        <v>-1</v>
      </c>
      <c r="M29" s="305"/>
      <c r="N29" s="309">
        <f t="shared" si="17"/>
        <v>-1</v>
      </c>
      <c r="O29" s="305"/>
      <c r="P29" s="309">
        <f t="shared" si="18"/>
        <v>-1</v>
      </c>
      <c r="Q29" s="307">
        <f t="shared" si="11"/>
        <v>0</v>
      </c>
      <c r="R29" s="314">
        <f t="shared" si="19"/>
        <v>-1</v>
      </c>
    </row>
    <row r="30" spans="1:18" hidden="1" x14ac:dyDescent="0.25">
      <c r="A30" s="303" t="s">
        <v>193</v>
      </c>
      <c r="B30" s="311">
        <v>3</v>
      </c>
      <c r="C30" s="305"/>
      <c r="D30" s="309">
        <f t="shared" si="12"/>
        <v>-1</v>
      </c>
      <c r="E30" s="305"/>
      <c r="F30" s="309">
        <f t="shared" si="13"/>
        <v>-1</v>
      </c>
      <c r="G30" s="305"/>
      <c r="H30" s="309">
        <f t="shared" si="14"/>
        <v>-1</v>
      </c>
      <c r="I30" s="307">
        <f t="shared" si="10"/>
        <v>0</v>
      </c>
      <c r="J30" s="314">
        <f t="shared" si="15"/>
        <v>-1</v>
      </c>
      <c r="K30" s="305"/>
      <c r="L30" s="309">
        <f t="shared" si="16"/>
        <v>-1</v>
      </c>
      <c r="M30" s="305"/>
      <c r="N30" s="309">
        <f t="shared" si="17"/>
        <v>-1</v>
      </c>
      <c r="O30" s="305"/>
      <c r="P30" s="309">
        <f t="shared" si="18"/>
        <v>-1</v>
      </c>
      <c r="Q30" s="307">
        <f t="shared" si="11"/>
        <v>0</v>
      </c>
      <c r="R30" s="314">
        <f t="shared" si="19"/>
        <v>-1</v>
      </c>
    </row>
    <row r="31" spans="1:18" hidden="1" x14ac:dyDescent="0.25">
      <c r="A31" s="303" t="s">
        <v>160</v>
      </c>
      <c r="B31" s="311">
        <v>2</v>
      </c>
      <c r="C31" s="305"/>
      <c r="D31" s="309">
        <f t="shared" si="12"/>
        <v>-1</v>
      </c>
      <c r="E31" s="305"/>
      <c r="F31" s="309">
        <f t="shared" si="13"/>
        <v>-1</v>
      </c>
      <c r="G31" s="305"/>
      <c r="H31" s="309">
        <f t="shared" si="14"/>
        <v>-1</v>
      </c>
      <c r="I31" s="307">
        <f t="shared" si="10"/>
        <v>0</v>
      </c>
      <c r="J31" s="314">
        <f t="shared" si="15"/>
        <v>-1</v>
      </c>
      <c r="K31" s="305"/>
      <c r="L31" s="309">
        <f t="shared" si="16"/>
        <v>-1</v>
      </c>
      <c r="M31" s="305"/>
      <c r="N31" s="309">
        <f t="shared" si="17"/>
        <v>-1</v>
      </c>
      <c r="O31" s="305"/>
      <c r="P31" s="309">
        <f t="shared" si="18"/>
        <v>-1</v>
      </c>
      <c r="Q31" s="307">
        <f t="shared" si="11"/>
        <v>0</v>
      </c>
      <c r="R31" s="314">
        <f t="shared" si="19"/>
        <v>-1</v>
      </c>
    </row>
    <row r="32" spans="1:18" hidden="1" x14ac:dyDescent="0.25">
      <c r="A32" s="303" t="s">
        <v>162</v>
      </c>
      <c r="B32" s="311">
        <v>2</v>
      </c>
      <c r="C32" s="305"/>
      <c r="D32" s="309">
        <f t="shared" si="12"/>
        <v>-1</v>
      </c>
      <c r="E32" s="305"/>
      <c r="F32" s="309">
        <f t="shared" si="13"/>
        <v>-1</v>
      </c>
      <c r="G32" s="305"/>
      <c r="H32" s="309">
        <f t="shared" si="14"/>
        <v>-1</v>
      </c>
      <c r="I32" s="307">
        <f t="shared" si="10"/>
        <v>0</v>
      </c>
      <c r="J32" s="314">
        <f t="shared" si="15"/>
        <v>-1</v>
      </c>
      <c r="K32" s="305"/>
      <c r="L32" s="309">
        <f t="shared" si="16"/>
        <v>-1</v>
      </c>
      <c r="M32" s="305"/>
      <c r="N32" s="309">
        <f t="shared" si="17"/>
        <v>-1</v>
      </c>
      <c r="O32" s="305"/>
      <c r="P32" s="309">
        <f t="shared" si="18"/>
        <v>-1</v>
      </c>
      <c r="Q32" s="307">
        <f t="shared" si="11"/>
        <v>0</v>
      </c>
      <c r="R32" s="314">
        <f t="shared" si="19"/>
        <v>-1</v>
      </c>
    </row>
    <row r="33" spans="1:18" hidden="1" x14ac:dyDescent="0.25">
      <c r="A33" s="303" t="s">
        <v>161</v>
      </c>
      <c r="B33" s="311">
        <v>3</v>
      </c>
      <c r="C33" s="305"/>
      <c r="D33" s="309">
        <f t="shared" si="12"/>
        <v>-1</v>
      </c>
      <c r="E33" s="305"/>
      <c r="F33" s="309">
        <f t="shared" si="13"/>
        <v>-1</v>
      </c>
      <c r="G33" s="305"/>
      <c r="H33" s="309">
        <f t="shared" si="14"/>
        <v>-1</v>
      </c>
      <c r="I33" s="307">
        <f t="shared" si="10"/>
        <v>0</v>
      </c>
      <c r="J33" s="314">
        <f t="shared" si="15"/>
        <v>-1</v>
      </c>
      <c r="K33" s="305"/>
      <c r="L33" s="309">
        <f t="shared" si="16"/>
        <v>-1</v>
      </c>
      <c r="M33" s="305"/>
      <c r="N33" s="309">
        <f t="shared" si="17"/>
        <v>-1</v>
      </c>
      <c r="O33" s="305"/>
      <c r="P33" s="309">
        <f t="shared" si="18"/>
        <v>-1</v>
      </c>
      <c r="Q33" s="307">
        <f t="shared" si="11"/>
        <v>0</v>
      </c>
      <c r="R33" s="314">
        <f t="shared" si="19"/>
        <v>-1</v>
      </c>
    </row>
    <row r="34" spans="1:18" hidden="1" x14ac:dyDescent="0.25">
      <c r="A34" s="303" t="s">
        <v>194</v>
      </c>
      <c r="B34" s="311">
        <v>1</v>
      </c>
      <c r="C34" s="305"/>
      <c r="D34" s="309">
        <f t="shared" si="12"/>
        <v>-1</v>
      </c>
      <c r="E34" s="305"/>
      <c r="F34" s="309">
        <f t="shared" si="13"/>
        <v>-1</v>
      </c>
      <c r="G34" s="305"/>
      <c r="H34" s="309">
        <f t="shared" si="14"/>
        <v>-1</v>
      </c>
      <c r="I34" s="307">
        <f t="shared" si="10"/>
        <v>0</v>
      </c>
      <c r="J34" s="314">
        <f t="shared" si="15"/>
        <v>-1</v>
      </c>
      <c r="K34" s="305"/>
      <c r="L34" s="309">
        <f t="shared" si="16"/>
        <v>-1</v>
      </c>
      <c r="M34" s="305"/>
      <c r="N34" s="309">
        <f t="shared" si="17"/>
        <v>-1</v>
      </c>
      <c r="O34" s="305"/>
      <c r="P34" s="309">
        <f t="shared" si="18"/>
        <v>-1</v>
      </c>
      <c r="Q34" s="307">
        <f t="shared" si="11"/>
        <v>0</v>
      </c>
      <c r="R34" s="314">
        <f t="shared" si="19"/>
        <v>-1</v>
      </c>
    </row>
    <row r="35" spans="1:18" hidden="1" x14ac:dyDescent="0.25">
      <c r="A35" s="303" t="s">
        <v>174</v>
      </c>
      <c r="B35" s="332">
        <v>2</v>
      </c>
      <c r="C35" s="305"/>
      <c r="D35" s="309">
        <f t="shared" si="12"/>
        <v>-1</v>
      </c>
      <c r="E35" s="305"/>
      <c r="F35" s="309">
        <f t="shared" si="13"/>
        <v>-1</v>
      </c>
      <c r="G35" s="305"/>
      <c r="H35" s="309">
        <f t="shared" si="14"/>
        <v>-1</v>
      </c>
      <c r="I35" s="307">
        <f t="shared" si="10"/>
        <v>0</v>
      </c>
      <c r="J35" s="314">
        <f t="shared" si="15"/>
        <v>-1</v>
      </c>
      <c r="K35" s="305"/>
      <c r="L35" s="309">
        <f t="shared" si="16"/>
        <v>-1</v>
      </c>
      <c r="M35" s="305"/>
      <c r="N35" s="309">
        <f t="shared" si="17"/>
        <v>-1</v>
      </c>
      <c r="O35" s="305"/>
      <c r="P35" s="309">
        <f t="shared" si="18"/>
        <v>-1</v>
      </c>
      <c r="Q35" s="307">
        <f t="shared" si="11"/>
        <v>0</v>
      </c>
      <c r="R35" s="314">
        <f t="shared" si="19"/>
        <v>-1</v>
      </c>
    </row>
    <row r="36" spans="1:18" hidden="1" x14ac:dyDescent="0.25">
      <c r="A36" s="333" t="s">
        <v>146</v>
      </c>
      <c r="B36" s="335">
        <v>2</v>
      </c>
      <c r="C36" s="334"/>
      <c r="D36" s="309">
        <f t="shared" si="12"/>
        <v>-1</v>
      </c>
      <c r="E36" s="334"/>
      <c r="F36" s="309">
        <f t="shared" si="13"/>
        <v>-1</v>
      </c>
      <c r="G36" s="334"/>
      <c r="H36" s="309">
        <f t="shared" si="14"/>
        <v>-1</v>
      </c>
      <c r="I36" s="307">
        <f t="shared" si="10"/>
        <v>0</v>
      </c>
      <c r="J36" s="314">
        <f t="shared" si="15"/>
        <v>-1</v>
      </c>
      <c r="K36" s="334"/>
      <c r="L36" s="309">
        <f t="shared" si="16"/>
        <v>-1</v>
      </c>
      <c r="M36" s="334"/>
      <c r="N36" s="309">
        <f t="shared" si="17"/>
        <v>-1</v>
      </c>
      <c r="O36" s="334"/>
      <c r="P36" s="309">
        <f t="shared" si="18"/>
        <v>-1</v>
      </c>
      <c r="Q36" s="307">
        <f t="shared" si="11"/>
        <v>0</v>
      </c>
      <c r="R36" s="314">
        <f t="shared" si="19"/>
        <v>-1</v>
      </c>
    </row>
    <row r="37" spans="1:18" ht="15.75" hidden="1" thickBot="1" x14ac:dyDescent="0.3">
      <c r="A37" s="362" t="s">
        <v>150</v>
      </c>
      <c r="B37" s="363">
        <v>1</v>
      </c>
      <c r="C37" s="364"/>
      <c r="D37" s="327">
        <f t="shared" si="12"/>
        <v>-1</v>
      </c>
      <c r="E37" s="364"/>
      <c r="F37" s="327">
        <f t="shared" si="13"/>
        <v>-1</v>
      </c>
      <c r="G37" s="364"/>
      <c r="H37" s="327">
        <f t="shared" si="14"/>
        <v>-1</v>
      </c>
      <c r="I37" s="328">
        <f t="shared" si="10"/>
        <v>0</v>
      </c>
      <c r="J37" s="329">
        <f t="shared" si="15"/>
        <v>-1</v>
      </c>
      <c r="K37" s="364"/>
      <c r="L37" s="327">
        <f t="shared" si="16"/>
        <v>-1</v>
      </c>
      <c r="M37" s="364"/>
      <c r="N37" s="327">
        <f t="shared" si="17"/>
        <v>-1</v>
      </c>
      <c r="O37" s="364"/>
      <c r="P37" s="327">
        <f t="shared" si="18"/>
        <v>-1</v>
      </c>
      <c r="Q37" s="328">
        <f t="shared" si="11"/>
        <v>0</v>
      </c>
      <c r="R37" s="329">
        <f t="shared" si="19"/>
        <v>-1</v>
      </c>
    </row>
    <row r="38" spans="1:18" ht="15.75" hidden="1" thickBot="1" x14ac:dyDescent="0.3">
      <c r="A38" s="44" t="s">
        <v>6</v>
      </c>
      <c r="B38" s="350">
        <f>SUM(B24:B37)</f>
        <v>28</v>
      </c>
      <c r="C38" s="48">
        <f>SUM(C27:C37)</f>
        <v>0</v>
      </c>
      <c r="D38" s="365">
        <f>((C38/$B38))-1</f>
        <v>-1</v>
      </c>
      <c r="E38" s="48">
        <f>SUM(E27:E37)</f>
        <v>0</v>
      </c>
      <c r="F38" s="365">
        <f>((E38/$B38))-1</f>
        <v>-1</v>
      </c>
      <c r="G38" s="48">
        <f>SUM(G27:G37)</f>
        <v>0</v>
      </c>
      <c r="H38" s="366">
        <f>((G38/$B38))-1</f>
        <v>-1</v>
      </c>
      <c r="I38" s="352">
        <f>C38+E38+G38</f>
        <v>0</v>
      </c>
      <c r="J38" s="353">
        <f>((I38/(3*$B38)))-1</f>
        <v>-1</v>
      </c>
      <c r="K38" s="48">
        <f>SUM(K27:K37)</f>
        <v>0</v>
      </c>
      <c r="L38" s="365">
        <f>((K38/$B38))-1</f>
        <v>-1</v>
      </c>
      <c r="M38" s="48">
        <f>SUM(M27:M37)</f>
        <v>0</v>
      </c>
      <c r="N38" s="365">
        <f>((M38/$B38))-1</f>
        <v>-1</v>
      </c>
      <c r="O38" s="48">
        <f>SUM(O27:O37)</f>
        <v>0</v>
      </c>
      <c r="P38" s="366">
        <f>((O38/$B38))-1</f>
        <v>-1</v>
      </c>
      <c r="Q38" s="352">
        <f>K38+M38+O38</f>
        <v>0</v>
      </c>
      <c r="R38" s="361">
        <f>((Q38/(3*$B38)))-1</f>
        <v>-1</v>
      </c>
    </row>
    <row r="39" spans="1:18" hidden="1" x14ac:dyDescent="0.25"/>
  </sheetData>
  <mergeCells count="4">
    <mergeCell ref="A2:R2"/>
    <mergeCell ref="A3:R3"/>
    <mergeCell ref="A22:R22"/>
    <mergeCell ref="A5:R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&amp;L&amp;12Fonte: Sistema WEBSAASS / SMS&amp;R&amp;12pag.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2:R41"/>
  <sheetViews>
    <sheetView showGridLines="0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43.28515625" customWidth="1"/>
    <col min="2" max="2" width="8.85546875"/>
    <col min="3" max="3" width="7.5703125" customWidth="1"/>
    <col min="4" max="4" width="8.140625" bestFit="1" customWidth="1"/>
    <col min="5" max="5" width="7.5703125" customWidth="1"/>
    <col min="6" max="6" width="8.140625" bestFit="1" customWidth="1"/>
    <col min="7" max="7" width="7.5703125" customWidth="1"/>
    <col min="8" max="8" width="8.140625" bestFit="1" customWidth="1"/>
    <col min="9" max="9" width="9.140625" customWidth="1"/>
    <col min="10" max="10" width="8.140625" customWidth="1"/>
    <col min="11" max="11" width="7.5703125" customWidth="1"/>
    <col min="12" max="12" width="8.140625" bestFit="1" customWidth="1"/>
    <col min="13" max="13" width="7.5703125" customWidth="1"/>
    <col min="14" max="14" width="8.140625" bestFit="1" customWidth="1"/>
    <col min="15" max="15" width="7.5703125" customWidth="1"/>
    <col min="16" max="16" width="8.140625" bestFit="1" customWidth="1"/>
    <col min="17" max="17" width="9.85546875" customWidth="1"/>
    <col min="18" max="18" width="8.140625" bestFit="1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5.75" x14ac:dyDescent="0.25">
      <c r="A5" s="603" t="s">
        <v>275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</row>
    <row r="6" spans="1:18" ht="24.75" thickBot="1" x14ac:dyDescent="0.3">
      <c r="A6" s="57" t="s">
        <v>12</v>
      </c>
      <c r="B6" s="340" t="s">
        <v>13</v>
      </c>
      <c r="C6" s="320" t="str">
        <f>'UBS Vila Dalva'!C6</f>
        <v>JUL</v>
      </c>
      <c r="D6" s="321" t="str">
        <f>'UBS Vila Dalva'!D6</f>
        <v>%</v>
      </c>
      <c r="E6" s="320" t="str">
        <f>'UBS Vila Dalva'!E6</f>
        <v>AGO</v>
      </c>
      <c r="F6" s="321" t="str">
        <f>'UBS Vila Dalva'!F6</f>
        <v>%</v>
      </c>
      <c r="G6" s="320" t="str">
        <f>'UBS Vila Dalva'!G6</f>
        <v>SET</v>
      </c>
      <c r="H6" s="321" t="str">
        <f>'UBS Vila Dalva'!H6</f>
        <v>%</v>
      </c>
      <c r="I6" s="322" t="str">
        <f>'UBS Vila Dalva'!I6</f>
        <v>Trimestre</v>
      </c>
      <c r="J6" s="322" t="str">
        <f>'UBS Vila Dalva'!J6</f>
        <v>%</v>
      </c>
      <c r="K6" s="320" t="str">
        <f>'UBS Vila Dalva'!K6</f>
        <v>OUT</v>
      </c>
      <c r="L6" s="321" t="str">
        <f>'UBS Vila Dalva'!L6</f>
        <v>%</v>
      </c>
      <c r="M6" s="320" t="str">
        <f>'UBS Vila Dalva'!M6</f>
        <v>NOV</v>
      </c>
      <c r="N6" s="321" t="str">
        <f>'UBS Vila Dalva'!N6</f>
        <v>%</v>
      </c>
      <c r="O6" s="320" t="str">
        <f>'UBS Vila Dalva'!O6</f>
        <v>DEZ</v>
      </c>
      <c r="P6" s="321" t="str">
        <f>'UBS Vila Dalva'!P6</f>
        <v>%</v>
      </c>
      <c r="Q6" s="322" t="str">
        <f>'UBS Vila Dalva'!Q6</f>
        <v>Trimestre</v>
      </c>
      <c r="R6" s="322" t="str">
        <f>'UBS Vila Dalva'!R6</f>
        <v>%</v>
      </c>
    </row>
    <row r="7" spans="1:18" ht="15.75" thickTop="1" x14ac:dyDescent="0.25">
      <c r="A7" s="319" t="s">
        <v>151</v>
      </c>
      <c r="B7" s="332">
        <v>3600</v>
      </c>
      <c r="C7" s="305">
        <v>2533</v>
      </c>
      <c r="D7" s="309">
        <f>((C7/$B7))-1</f>
        <v>-0.29638888888888892</v>
      </c>
      <c r="E7" s="305">
        <v>7613</v>
      </c>
      <c r="F7" s="309">
        <f>((E7/$B7))-1</f>
        <v>1.1147222222222224</v>
      </c>
      <c r="G7" s="305">
        <v>2457</v>
      </c>
      <c r="H7" s="309">
        <f>((G7/$B7))-1</f>
        <v>-0.3175</v>
      </c>
      <c r="I7" s="307">
        <f>C7+E7+G7</f>
        <v>12603</v>
      </c>
      <c r="J7" s="314">
        <f>((I7/(3*$B7)))-1</f>
        <v>0.16694444444444434</v>
      </c>
      <c r="K7" s="305">
        <v>2471</v>
      </c>
      <c r="L7" s="309">
        <f>((K7/$B7))-1</f>
        <v>-0.31361111111111106</v>
      </c>
      <c r="M7" s="305">
        <v>3114</v>
      </c>
      <c r="N7" s="309">
        <f>((M7/$B7))-1</f>
        <v>-0.13500000000000001</v>
      </c>
      <c r="O7" s="305">
        <v>3013</v>
      </c>
      <c r="P7" s="309">
        <f>((O7/$B7))-1</f>
        <v>-0.16305555555555551</v>
      </c>
      <c r="Q7" s="307">
        <f>K7+M7+O7</f>
        <v>8598</v>
      </c>
      <c r="R7" s="314">
        <f>((Q7/(3*$B7)))-1</f>
        <v>-0.2038888888888889</v>
      </c>
    </row>
    <row r="8" spans="1:18" x14ac:dyDescent="0.25">
      <c r="A8" s="319" t="s">
        <v>152</v>
      </c>
      <c r="B8" s="332">
        <v>1248</v>
      </c>
      <c r="C8" s="305">
        <v>537</v>
      </c>
      <c r="D8" s="309">
        <f t="shared" ref="D8:D17" si="0">((C8/$B8))-1</f>
        <v>-0.56971153846153844</v>
      </c>
      <c r="E8" s="305">
        <v>1011</v>
      </c>
      <c r="F8" s="309">
        <f t="shared" ref="F8:F17" si="1">((E8/$B8))-1</f>
        <v>-0.18990384615384615</v>
      </c>
      <c r="G8" s="305">
        <v>1186</v>
      </c>
      <c r="H8" s="309">
        <f t="shared" ref="H8:H17" si="2">((G8/$B8))-1</f>
        <v>-4.9679487179487225E-2</v>
      </c>
      <c r="I8" s="307">
        <f t="shared" ref="I8:I12" si="3">C8+E8+G8</f>
        <v>2734</v>
      </c>
      <c r="J8" s="314">
        <f t="shared" ref="J8:J15" si="4">((I8/(3*$B8)))-1</f>
        <v>-0.26976495726495731</v>
      </c>
      <c r="K8" s="305">
        <v>1208</v>
      </c>
      <c r="L8" s="309">
        <f t="shared" ref="L8:L17" si="5">((K8/$B8))-1</f>
        <v>-3.2051282051282048E-2</v>
      </c>
      <c r="M8" s="305">
        <v>1196</v>
      </c>
      <c r="N8" s="309">
        <f t="shared" ref="N8:N17" si="6">((M8/$B8))-1</f>
        <v>-4.166666666666663E-2</v>
      </c>
      <c r="O8" s="305">
        <v>868</v>
      </c>
      <c r="P8" s="309">
        <f t="shared" ref="P8:P16" si="7">((O8/$B8))-1</f>
        <v>-0.30448717948717952</v>
      </c>
      <c r="Q8" s="307">
        <f t="shared" ref="Q8:Q15" si="8">K8+M8+O8</f>
        <v>3272</v>
      </c>
      <c r="R8" s="314">
        <f t="shared" ref="R8:R15" si="9">((Q8/(3*$B8)))-1</f>
        <v>-0.12606837606837606</v>
      </c>
    </row>
    <row r="9" spans="1:18" x14ac:dyDescent="0.25">
      <c r="A9" s="319" t="s">
        <v>164</v>
      </c>
      <c r="B9" s="332">
        <v>468</v>
      </c>
      <c r="C9" s="305">
        <v>450</v>
      </c>
      <c r="D9" s="309">
        <f t="shared" si="0"/>
        <v>-3.8461538461538436E-2</v>
      </c>
      <c r="E9" s="305">
        <v>553</v>
      </c>
      <c r="F9" s="309">
        <f t="shared" si="1"/>
        <v>0.18162393162393164</v>
      </c>
      <c r="G9" s="305">
        <v>542</v>
      </c>
      <c r="H9" s="309">
        <f t="shared" si="2"/>
        <v>0.15811965811965822</v>
      </c>
      <c r="I9" s="307">
        <f t="shared" si="3"/>
        <v>1545</v>
      </c>
      <c r="J9" s="314">
        <f t="shared" si="4"/>
        <v>0.10042735042735051</v>
      </c>
      <c r="K9" s="305">
        <v>566</v>
      </c>
      <c r="L9" s="309">
        <f t="shared" si="5"/>
        <v>0.20940170940170932</v>
      </c>
      <c r="M9" s="305">
        <v>351</v>
      </c>
      <c r="N9" s="309">
        <f t="shared" si="6"/>
        <v>-0.25</v>
      </c>
      <c r="O9" s="305">
        <v>526</v>
      </c>
      <c r="P9" s="309">
        <f t="shared" si="7"/>
        <v>0.12393162393162394</v>
      </c>
      <c r="Q9" s="307">
        <f t="shared" si="8"/>
        <v>1443</v>
      </c>
      <c r="R9" s="314">
        <f t="shared" si="9"/>
        <v>2.7777777777777679E-2</v>
      </c>
    </row>
    <row r="10" spans="1:18" x14ac:dyDescent="0.25">
      <c r="A10" s="410" t="s">
        <v>165</v>
      </c>
      <c r="B10" s="341">
        <v>526</v>
      </c>
      <c r="C10" s="326">
        <v>205</v>
      </c>
      <c r="D10" s="309">
        <f t="shared" si="0"/>
        <v>-0.61026615969581743</v>
      </c>
      <c r="E10" s="326">
        <v>329</v>
      </c>
      <c r="F10" s="309">
        <f t="shared" si="1"/>
        <v>-0.37452471482889738</v>
      </c>
      <c r="G10" s="326">
        <v>221</v>
      </c>
      <c r="H10" s="327">
        <f t="shared" si="2"/>
        <v>-0.57984790874524716</v>
      </c>
      <c r="I10" s="328">
        <f t="shared" si="3"/>
        <v>755</v>
      </c>
      <c r="J10" s="329">
        <f t="shared" si="4"/>
        <v>-0.52154626108998725</v>
      </c>
      <c r="K10" s="326">
        <v>148</v>
      </c>
      <c r="L10" s="327">
        <f t="shared" si="5"/>
        <v>-0.71863117870722437</v>
      </c>
      <c r="M10" s="326">
        <v>189</v>
      </c>
      <c r="N10" s="327">
        <f t="shared" si="6"/>
        <v>-0.64068441064638781</v>
      </c>
      <c r="O10" s="326">
        <v>334</v>
      </c>
      <c r="P10" s="327">
        <f t="shared" si="7"/>
        <v>-0.36501901140684412</v>
      </c>
      <c r="Q10" s="328">
        <f t="shared" si="8"/>
        <v>671</v>
      </c>
      <c r="R10" s="329">
        <f t="shared" si="9"/>
        <v>-0.57477820025348536</v>
      </c>
    </row>
    <row r="11" spans="1:18" x14ac:dyDescent="0.25">
      <c r="A11" s="301" t="s">
        <v>156</v>
      </c>
      <c r="B11" s="341">
        <v>263</v>
      </c>
      <c r="C11" s="326">
        <v>220</v>
      </c>
      <c r="D11" s="309">
        <f t="shared" si="0"/>
        <v>-0.16349809885931554</v>
      </c>
      <c r="E11" s="326">
        <v>235</v>
      </c>
      <c r="F11" s="309">
        <f t="shared" si="1"/>
        <v>-0.10646387832699622</v>
      </c>
      <c r="G11" s="326">
        <v>168</v>
      </c>
      <c r="H11" s="327">
        <f t="shared" si="2"/>
        <v>-0.36121673003802279</v>
      </c>
      <c r="I11" s="328">
        <f t="shared" si="3"/>
        <v>623</v>
      </c>
      <c r="J11" s="329">
        <f t="shared" si="4"/>
        <v>-0.21039290240811148</v>
      </c>
      <c r="K11" s="326">
        <v>148</v>
      </c>
      <c r="L11" s="327">
        <f t="shared" si="5"/>
        <v>-0.43726235741444863</v>
      </c>
      <c r="M11" s="326">
        <v>162</v>
      </c>
      <c r="N11" s="327">
        <f t="shared" si="6"/>
        <v>-0.38403041825095052</v>
      </c>
      <c r="O11" s="326">
        <v>193</v>
      </c>
      <c r="P11" s="327">
        <f t="shared" si="7"/>
        <v>-0.26615969581749055</v>
      </c>
      <c r="Q11" s="328">
        <f t="shared" si="8"/>
        <v>503</v>
      </c>
      <c r="R11" s="329">
        <f t="shared" si="9"/>
        <v>-0.36248415716096327</v>
      </c>
    </row>
    <row r="12" spans="1:18" x14ac:dyDescent="0.25">
      <c r="A12" s="303" t="s">
        <v>155</v>
      </c>
      <c r="B12" s="332">
        <v>263</v>
      </c>
      <c r="C12" s="305">
        <v>218</v>
      </c>
      <c r="D12" s="309">
        <f t="shared" si="0"/>
        <v>-0.17110266159695819</v>
      </c>
      <c r="E12" s="305">
        <v>260</v>
      </c>
      <c r="F12" s="309">
        <f t="shared" si="1"/>
        <v>-1.1406844106463865E-2</v>
      </c>
      <c r="G12" s="305">
        <v>161</v>
      </c>
      <c r="H12" s="309">
        <f t="shared" si="2"/>
        <v>-0.38783269961977185</v>
      </c>
      <c r="I12" s="328">
        <f t="shared" si="3"/>
        <v>639</v>
      </c>
      <c r="J12" s="329">
        <f t="shared" si="4"/>
        <v>-0.1901140684410646</v>
      </c>
      <c r="K12" s="305">
        <v>172</v>
      </c>
      <c r="L12" s="309">
        <f t="shared" si="5"/>
        <v>-0.3460076045627376</v>
      </c>
      <c r="M12" s="305">
        <v>168</v>
      </c>
      <c r="N12" s="309">
        <f t="shared" si="6"/>
        <v>-0.36121673003802279</v>
      </c>
      <c r="O12" s="305">
        <v>168</v>
      </c>
      <c r="P12" s="309">
        <f t="shared" si="7"/>
        <v>-0.36121673003802279</v>
      </c>
      <c r="Q12" s="328">
        <f t="shared" si="8"/>
        <v>508</v>
      </c>
      <c r="R12" s="329">
        <f t="shared" si="9"/>
        <v>-0.3561470215462611</v>
      </c>
    </row>
    <row r="13" spans="1:18" x14ac:dyDescent="0.25">
      <c r="A13" s="303" t="s">
        <v>192</v>
      </c>
      <c r="B13" s="332">
        <v>166</v>
      </c>
      <c r="C13" s="305">
        <v>0</v>
      </c>
      <c r="D13" s="309">
        <f t="shared" si="0"/>
        <v>-1</v>
      </c>
      <c r="E13" s="305">
        <v>40</v>
      </c>
      <c r="F13" s="309">
        <f t="shared" si="1"/>
        <v>-0.75903614457831325</v>
      </c>
      <c r="G13" s="305">
        <v>63</v>
      </c>
      <c r="H13" s="309">
        <f t="shared" si="2"/>
        <v>-0.62048192771084332</v>
      </c>
      <c r="I13" s="328">
        <f>C13+E13+G13</f>
        <v>103</v>
      </c>
      <c r="J13" s="329">
        <f t="shared" si="4"/>
        <v>-0.79317269076305219</v>
      </c>
      <c r="K13" s="305">
        <v>55</v>
      </c>
      <c r="L13" s="309">
        <f t="shared" si="5"/>
        <v>-0.66867469879518071</v>
      </c>
      <c r="M13" s="305">
        <v>74</v>
      </c>
      <c r="N13" s="309">
        <f t="shared" si="6"/>
        <v>-0.55421686746987953</v>
      </c>
      <c r="O13" s="305">
        <v>76</v>
      </c>
      <c r="P13" s="309">
        <f t="shared" si="7"/>
        <v>-0.54216867469879526</v>
      </c>
      <c r="Q13" s="328">
        <f t="shared" si="8"/>
        <v>205</v>
      </c>
      <c r="R13" s="329">
        <f t="shared" si="9"/>
        <v>-0.58835341365461846</v>
      </c>
    </row>
    <row r="14" spans="1:18" x14ac:dyDescent="0.25">
      <c r="A14" s="303" t="s">
        <v>284</v>
      </c>
      <c r="B14" s="332">
        <v>208</v>
      </c>
      <c r="C14" s="305">
        <v>0</v>
      </c>
      <c r="D14" s="309">
        <f t="shared" si="0"/>
        <v>-1</v>
      </c>
      <c r="E14" s="305">
        <v>0</v>
      </c>
      <c r="F14" s="309">
        <f t="shared" si="1"/>
        <v>-1</v>
      </c>
      <c r="G14" s="305">
        <v>81</v>
      </c>
      <c r="H14" s="309">
        <f t="shared" si="2"/>
        <v>-0.61057692307692313</v>
      </c>
      <c r="I14" s="328">
        <f>C14+E14+G14</f>
        <v>81</v>
      </c>
      <c r="J14" s="329">
        <f t="shared" si="4"/>
        <v>-0.87019230769230771</v>
      </c>
      <c r="K14" s="305">
        <v>137</v>
      </c>
      <c r="L14" s="309">
        <f t="shared" si="5"/>
        <v>-0.34134615384615385</v>
      </c>
      <c r="M14" s="305">
        <v>46</v>
      </c>
      <c r="N14" s="309">
        <f t="shared" si="6"/>
        <v>-0.77884615384615385</v>
      </c>
      <c r="O14" s="305">
        <v>23</v>
      </c>
      <c r="P14" s="309">
        <f t="shared" si="7"/>
        <v>-0.88942307692307687</v>
      </c>
      <c r="Q14" s="328">
        <f t="shared" si="8"/>
        <v>206</v>
      </c>
      <c r="R14" s="329">
        <f t="shared" si="9"/>
        <v>-0.66987179487179493</v>
      </c>
    </row>
    <row r="15" spans="1:18" x14ac:dyDescent="0.25">
      <c r="A15" s="318" t="s">
        <v>285</v>
      </c>
      <c r="B15" s="341">
        <v>1248</v>
      </c>
      <c r="C15" s="326">
        <v>0</v>
      </c>
      <c r="D15" s="327">
        <f t="shared" si="0"/>
        <v>-1</v>
      </c>
      <c r="E15" s="326">
        <v>0</v>
      </c>
      <c r="F15" s="327">
        <f t="shared" si="1"/>
        <v>-1</v>
      </c>
      <c r="G15" s="326">
        <v>278</v>
      </c>
      <c r="H15" s="327">
        <f t="shared" si="2"/>
        <v>-0.77724358974358976</v>
      </c>
      <c r="I15" s="328">
        <f>C15+E15+G15</f>
        <v>278</v>
      </c>
      <c r="J15" s="329">
        <f t="shared" si="4"/>
        <v>-0.92574786324786329</v>
      </c>
      <c r="K15" s="326">
        <v>238</v>
      </c>
      <c r="L15" s="327">
        <f t="shared" si="5"/>
        <v>-0.80929487179487181</v>
      </c>
      <c r="M15" s="326">
        <v>103</v>
      </c>
      <c r="N15" s="327">
        <f t="shared" si="6"/>
        <v>-0.91746794871794868</v>
      </c>
      <c r="O15" s="326">
        <v>40</v>
      </c>
      <c r="P15" s="327">
        <f t="shared" si="7"/>
        <v>-0.96794871794871795</v>
      </c>
      <c r="Q15" s="328">
        <f t="shared" si="8"/>
        <v>381</v>
      </c>
      <c r="R15" s="329">
        <f t="shared" si="9"/>
        <v>-0.89823717948717952</v>
      </c>
    </row>
    <row r="16" spans="1:18" x14ac:dyDescent="0.25">
      <c r="A16" s="303" t="s">
        <v>286</v>
      </c>
      <c r="B16" s="332">
        <v>111</v>
      </c>
      <c r="C16" s="305">
        <v>0</v>
      </c>
      <c r="D16" s="309">
        <f t="shared" si="0"/>
        <v>-1</v>
      </c>
      <c r="E16" s="305">
        <v>0</v>
      </c>
      <c r="F16" s="309">
        <f t="shared" si="1"/>
        <v>-1</v>
      </c>
      <c r="G16" s="305">
        <v>34</v>
      </c>
      <c r="H16" s="309">
        <f t="shared" si="2"/>
        <v>-0.69369369369369371</v>
      </c>
      <c r="I16" s="328">
        <f t="shared" ref="I16:I17" si="10">C16+E16+G16</f>
        <v>34</v>
      </c>
      <c r="J16" s="329">
        <f t="shared" ref="J16:J17" si="11">((I16/(3*$B16)))-1</f>
        <v>-0.89789789789789787</v>
      </c>
      <c r="K16" s="305">
        <v>82</v>
      </c>
      <c r="L16" s="309">
        <f t="shared" si="5"/>
        <v>-0.26126126126126126</v>
      </c>
      <c r="M16" s="305">
        <v>27</v>
      </c>
      <c r="N16" s="309">
        <f t="shared" si="6"/>
        <v>-0.7567567567567568</v>
      </c>
      <c r="O16" s="305">
        <v>48</v>
      </c>
      <c r="P16" s="309">
        <f t="shared" si="7"/>
        <v>-0.56756756756756754</v>
      </c>
      <c r="Q16" s="328">
        <f t="shared" ref="Q16:Q17" si="12">K16+M16+O16</f>
        <v>157</v>
      </c>
      <c r="R16" s="329">
        <f t="shared" ref="R16:R17" si="13">((Q16/(3*$B16)))-1</f>
        <v>-0.52852852852852861</v>
      </c>
    </row>
    <row r="17" spans="1:18" ht="15.75" thickBot="1" x14ac:dyDescent="0.3">
      <c r="A17" s="301" t="s">
        <v>287</v>
      </c>
      <c r="B17" s="406">
        <v>444</v>
      </c>
      <c r="C17" s="403">
        <v>0</v>
      </c>
      <c r="D17" s="407">
        <f t="shared" si="0"/>
        <v>-1</v>
      </c>
      <c r="E17" s="403">
        <v>0</v>
      </c>
      <c r="F17" s="407">
        <f t="shared" si="1"/>
        <v>-1</v>
      </c>
      <c r="G17" s="403">
        <v>133</v>
      </c>
      <c r="H17" s="407">
        <f t="shared" si="2"/>
        <v>-0.70045045045045051</v>
      </c>
      <c r="I17" s="433">
        <f t="shared" si="10"/>
        <v>133</v>
      </c>
      <c r="J17" s="408">
        <f t="shared" si="11"/>
        <v>-0.9001501501501501</v>
      </c>
      <c r="K17" s="403">
        <v>217</v>
      </c>
      <c r="L17" s="407">
        <f t="shared" si="5"/>
        <v>-0.51126126126126126</v>
      </c>
      <c r="M17" s="403">
        <v>28</v>
      </c>
      <c r="N17" s="407">
        <f t="shared" si="6"/>
        <v>-0.93693693693693691</v>
      </c>
      <c r="O17" s="403">
        <v>62</v>
      </c>
      <c r="P17" s="407">
        <f>((O17/$B17))-1</f>
        <v>-0.86036036036036034</v>
      </c>
      <c r="Q17" s="328">
        <f t="shared" si="12"/>
        <v>307</v>
      </c>
      <c r="R17" s="329">
        <f t="shared" si="13"/>
        <v>-0.76951951951951947</v>
      </c>
    </row>
    <row r="18" spans="1:18" ht="15.75" thickBot="1" x14ac:dyDescent="0.3">
      <c r="A18" s="44" t="s">
        <v>6</v>
      </c>
      <c r="B18" s="350">
        <f>SUM(B7:B17)</f>
        <v>8545</v>
      </c>
      <c r="C18" s="48">
        <f>SUM(C7:C17)</f>
        <v>4163</v>
      </c>
      <c r="D18" s="52">
        <f>((C18/$B18))-1</f>
        <v>-0.51281451141018142</v>
      </c>
      <c r="E18" s="48">
        <f>SUM(E7:E17)</f>
        <v>10041</v>
      </c>
      <c r="F18" s="52">
        <f>((E18/$B18))-1</f>
        <v>0.17507314218841419</v>
      </c>
      <c r="G18" s="48">
        <f>SUM(G7:G17)</f>
        <v>5324</v>
      </c>
      <c r="H18" s="351">
        <f>((G18/$B18))-1</f>
        <v>-0.37694558221181973</v>
      </c>
      <c r="I18" s="434">
        <f>C18+E18+G18</f>
        <v>19528</v>
      </c>
      <c r="J18" s="435">
        <f>((I18/(3*$B18)))-1</f>
        <v>-0.23822898381119562</v>
      </c>
      <c r="K18" s="48">
        <f>SUM(K7:K17)</f>
        <v>5442</v>
      </c>
      <c r="L18" s="52">
        <f>((K18/$B18))-1</f>
        <v>-0.36313633703920423</v>
      </c>
      <c r="M18" s="48">
        <f>SUM(M7:M17)</f>
        <v>5458</v>
      </c>
      <c r="N18" s="52">
        <f>((M18/$B18))-1</f>
        <v>-0.36126389701579875</v>
      </c>
      <c r="O18" s="48">
        <f>SUM(O7:O17)</f>
        <v>5351</v>
      </c>
      <c r="P18" s="351">
        <f>((O18/$B18))-1</f>
        <v>-0.37378583967232304</v>
      </c>
      <c r="Q18" s="352">
        <f>K18+M18+O18</f>
        <v>16251</v>
      </c>
      <c r="R18" s="361">
        <f>((Q18/(3*$B18)))-1</f>
        <v>-0.3660620245757753</v>
      </c>
    </row>
    <row r="19" spans="1:18" x14ac:dyDescent="0.25">
      <c r="B19" s="26"/>
    </row>
    <row r="21" spans="1:18" ht="15.75" hidden="1" x14ac:dyDescent="0.25">
      <c r="A21" s="607" t="s">
        <v>276</v>
      </c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</row>
    <row r="22" spans="1:18" ht="24.75" hidden="1" thickBot="1" x14ac:dyDescent="0.3">
      <c r="A22" s="55" t="s">
        <v>12</v>
      </c>
      <c r="B22" s="56" t="s">
        <v>13</v>
      </c>
      <c r="C22" s="111" t="str">
        <f>'UBS Vila Dalva'!C6</f>
        <v>JUL</v>
      </c>
      <c r="D22" s="112" t="str">
        <f>'UBS Vila Dalva'!D6</f>
        <v>%</v>
      </c>
      <c r="E22" s="111" t="str">
        <f>'UBS Vila Dalva'!E6</f>
        <v>AGO</v>
      </c>
      <c r="F22" s="112" t="str">
        <f>'UBS Vila Dalva'!F6</f>
        <v>%</v>
      </c>
      <c r="G22" s="111" t="str">
        <f>'UBS Vila Dalva'!G6</f>
        <v>SET</v>
      </c>
      <c r="H22" s="112" t="str">
        <f>'UBS Vila Dalva'!H6</f>
        <v>%</v>
      </c>
      <c r="I22" s="113" t="str">
        <f>'UBS Vila Dalva'!I6</f>
        <v>Trimestre</v>
      </c>
      <c r="J22" s="113" t="str">
        <f>'UBS Vila Dalva'!J6</f>
        <v>%</v>
      </c>
      <c r="K22" s="111" t="str">
        <f>'UBS Vila Dalva'!K6</f>
        <v>OUT</v>
      </c>
      <c r="L22" s="112" t="str">
        <f>'UBS Vila Dalva'!L6</f>
        <v>%</v>
      </c>
      <c r="M22" s="111" t="str">
        <f>'UBS Vila Dalva'!M6</f>
        <v>NOV</v>
      </c>
      <c r="N22" s="112" t="str">
        <f>'UBS Vila Dalva'!N6</f>
        <v>%</v>
      </c>
      <c r="O22" s="111" t="str">
        <f>'UBS Vila Dalva'!O6</f>
        <v>DEZ</v>
      </c>
      <c r="P22" s="112" t="str">
        <f>'UBS Vila Dalva'!P6</f>
        <v>%</v>
      </c>
      <c r="Q22" s="113" t="str">
        <f>'UBS Vila Dalva'!Q6</f>
        <v>Trimestre</v>
      </c>
      <c r="R22" s="113" t="str">
        <f>'UBS Vila Dalva'!R6</f>
        <v>%</v>
      </c>
    </row>
    <row r="23" spans="1:18" ht="15.75" hidden="1" thickTop="1" x14ac:dyDescent="0.25">
      <c r="A23" s="319" t="s">
        <v>277</v>
      </c>
      <c r="B23" s="3">
        <v>18</v>
      </c>
      <c r="C23" s="194"/>
      <c r="D23" s="7">
        <f>((C23/$B23))-1</f>
        <v>-1</v>
      </c>
      <c r="E23" s="194"/>
      <c r="F23" s="7">
        <f>((E23/$B23))-1</f>
        <v>-1</v>
      </c>
      <c r="G23" s="194"/>
      <c r="H23" s="7">
        <f>((G23/$B23))-1</f>
        <v>-1</v>
      </c>
      <c r="I23" s="5">
        <f t="shared" ref="I23:I35" si="14">C23+E23+G23</f>
        <v>0</v>
      </c>
      <c r="J23" s="8">
        <f>((I23/(3*$B23)))-1</f>
        <v>-1</v>
      </c>
      <c r="K23" s="194"/>
      <c r="L23" s="7">
        <f>((K23/$B23))-1</f>
        <v>-1</v>
      </c>
      <c r="M23" s="194"/>
      <c r="N23" s="7">
        <f>((M23/$B23))-1</f>
        <v>-1</v>
      </c>
      <c r="O23" s="194"/>
      <c r="P23" s="7">
        <f>((O23/$B23))-1</f>
        <v>-1</v>
      </c>
      <c r="Q23" s="5">
        <f t="shared" ref="Q23:Q35" si="15">K23+M23+O23</f>
        <v>0</v>
      </c>
      <c r="R23" s="8">
        <f>((Q23/(3*$B23)))-1</f>
        <v>-1</v>
      </c>
    </row>
    <row r="24" spans="1:18" hidden="1" x14ac:dyDescent="0.25">
      <c r="A24" s="319" t="s">
        <v>278</v>
      </c>
      <c r="B24" s="3">
        <v>3</v>
      </c>
      <c r="C24" s="194"/>
      <c r="D24" s="7">
        <f>((C24/$B24))-1</f>
        <v>-1</v>
      </c>
      <c r="E24" s="194"/>
      <c r="F24" s="7">
        <f>((E24/$B24))-1</f>
        <v>-1</v>
      </c>
      <c r="G24" s="194"/>
      <c r="H24" s="7">
        <f>((G24/$B24))-1</f>
        <v>-1</v>
      </c>
      <c r="I24" s="5">
        <f t="shared" si="14"/>
        <v>0</v>
      </c>
      <c r="J24" s="8">
        <f>((I24/(3*$B24)))-1</f>
        <v>-1</v>
      </c>
      <c r="K24" s="194"/>
      <c r="L24" s="7">
        <f>((K24/$B24))-1</f>
        <v>-1</v>
      </c>
      <c r="M24" s="194"/>
      <c r="N24" s="7">
        <f>((M24/$B24))-1</f>
        <v>-1</v>
      </c>
      <c r="O24" s="194"/>
      <c r="P24" s="7">
        <f>((O24/$B24))-1</f>
        <v>-1</v>
      </c>
      <c r="Q24" s="5">
        <f t="shared" si="15"/>
        <v>0</v>
      </c>
      <c r="R24" s="8">
        <f>((Q24/(3*$B24)))-1</f>
        <v>-1</v>
      </c>
    </row>
    <row r="25" spans="1:18" hidden="1" x14ac:dyDescent="0.25">
      <c r="A25" s="319" t="s">
        <v>279</v>
      </c>
      <c r="B25" s="58">
        <v>3</v>
      </c>
      <c r="C25" s="93"/>
      <c r="D25" s="7">
        <f t="shared" ref="D25:D35" si="16">((C25/$B25))-1</f>
        <v>-1</v>
      </c>
      <c r="E25" s="285"/>
      <c r="F25" s="7">
        <f t="shared" ref="F25:F35" si="17">((E25/$B25))-1</f>
        <v>-1</v>
      </c>
      <c r="G25" s="285"/>
      <c r="H25" s="7">
        <f t="shared" ref="H25:H35" si="18">((G25/$B25))-1</f>
        <v>-1</v>
      </c>
      <c r="I25" s="5">
        <f t="shared" si="14"/>
        <v>0</v>
      </c>
      <c r="J25" s="8">
        <f t="shared" ref="J25:J35" si="19">((I25/(3*$B25)))-1</f>
        <v>-1</v>
      </c>
      <c r="K25" s="285"/>
      <c r="L25" s="7">
        <f t="shared" ref="L25:L35" si="20">((K25/$B25))-1</f>
        <v>-1</v>
      </c>
      <c r="M25" s="285"/>
      <c r="N25" s="7">
        <f t="shared" ref="N25:N35" si="21">((M25/$B25))-1</f>
        <v>-1</v>
      </c>
      <c r="O25" s="285"/>
      <c r="P25" s="7">
        <f t="shared" ref="P25:P35" si="22">((O25/$B25))-1</f>
        <v>-1</v>
      </c>
      <c r="Q25" s="5">
        <f t="shared" si="15"/>
        <v>0</v>
      </c>
      <c r="R25" s="8">
        <f t="shared" ref="R25:R35" si="23">((Q25/(3*$B25)))-1</f>
        <v>-1</v>
      </c>
    </row>
    <row r="26" spans="1:18" hidden="1" x14ac:dyDescent="0.25">
      <c r="A26" s="409" t="s">
        <v>280</v>
      </c>
      <c r="B26" s="312">
        <v>2</v>
      </c>
      <c r="C26" s="299"/>
      <c r="D26" s="400">
        <f t="shared" si="16"/>
        <v>-1</v>
      </c>
      <c r="E26" s="299"/>
      <c r="F26" s="400">
        <f t="shared" si="17"/>
        <v>-1</v>
      </c>
      <c r="G26" s="299"/>
      <c r="H26" s="400">
        <f t="shared" si="18"/>
        <v>-1</v>
      </c>
      <c r="I26" s="401">
        <f t="shared" si="14"/>
        <v>0</v>
      </c>
      <c r="J26" s="402">
        <f t="shared" si="19"/>
        <v>-1</v>
      </c>
      <c r="K26" s="299"/>
      <c r="L26" s="400">
        <f t="shared" si="20"/>
        <v>-1</v>
      </c>
      <c r="M26" s="299"/>
      <c r="N26" s="400">
        <f t="shared" si="21"/>
        <v>-1</v>
      </c>
      <c r="O26" s="299"/>
      <c r="P26" s="400">
        <f t="shared" si="22"/>
        <v>-1</v>
      </c>
      <c r="Q26" s="401">
        <f t="shared" si="15"/>
        <v>0</v>
      </c>
      <c r="R26" s="402">
        <f t="shared" si="23"/>
        <v>-1</v>
      </c>
    </row>
    <row r="27" spans="1:18" hidden="1" x14ac:dyDescent="0.25">
      <c r="A27" s="301" t="s">
        <v>281</v>
      </c>
      <c r="B27" s="311">
        <v>1</v>
      </c>
      <c r="C27" s="305"/>
      <c r="D27" s="309">
        <f t="shared" si="16"/>
        <v>-1</v>
      </c>
      <c r="E27" s="305"/>
      <c r="F27" s="309">
        <f t="shared" si="17"/>
        <v>-1</v>
      </c>
      <c r="G27" s="305"/>
      <c r="H27" s="309">
        <f t="shared" si="18"/>
        <v>-1</v>
      </c>
      <c r="I27" s="307">
        <f t="shared" si="14"/>
        <v>0</v>
      </c>
      <c r="J27" s="314">
        <f t="shared" si="19"/>
        <v>-1</v>
      </c>
      <c r="K27" s="305"/>
      <c r="L27" s="309">
        <f t="shared" si="20"/>
        <v>-1</v>
      </c>
      <c r="M27" s="305"/>
      <c r="N27" s="309">
        <f t="shared" si="21"/>
        <v>-1</v>
      </c>
      <c r="O27" s="305"/>
      <c r="P27" s="309">
        <f t="shared" si="22"/>
        <v>-1</v>
      </c>
      <c r="Q27" s="307">
        <f t="shared" si="15"/>
        <v>0</v>
      </c>
      <c r="R27" s="314">
        <f t="shared" si="23"/>
        <v>-1</v>
      </c>
    </row>
    <row r="28" spans="1:18" hidden="1" x14ac:dyDescent="0.25">
      <c r="A28" s="303" t="s">
        <v>282</v>
      </c>
      <c r="B28" s="311">
        <v>1</v>
      </c>
      <c r="C28" s="305"/>
      <c r="D28" s="309">
        <f t="shared" si="16"/>
        <v>-1</v>
      </c>
      <c r="E28" s="305"/>
      <c r="F28" s="309">
        <f t="shared" si="17"/>
        <v>-1</v>
      </c>
      <c r="G28" s="305"/>
      <c r="H28" s="309">
        <f t="shared" si="18"/>
        <v>-1</v>
      </c>
      <c r="I28" s="307">
        <f t="shared" si="14"/>
        <v>0</v>
      </c>
      <c r="J28" s="314">
        <f t="shared" si="19"/>
        <v>-1</v>
      </c>
      <c r="K28" s="305"/>
      <c r="L28" s="309">
        <f t="shared" si="20"/>
        <v>-1</v>
      </c>
      <c r="M28" s="305"/>
      <c r="N28" s="309">
        <f t="shared" si="21"/>
        <v>-1</v>
      </c>
      <c r="O28" s="305"/>
      <c r="P28" s="309">
        <f t="shared" si="22"/>
        <v>-1</v>
      </c>
      <c r="Q28" s="307">
        <f t="shared" si="15"/>
        <v>0</v>
      </c>
      <c r="R28" s="314">
        <f t="shared" si="23"/>
        <v>-1</v>
      </c>
    </row>
    <row r="29" spans="1:18" hidden="1" x14ac:dyDescent="0.25">
      <c r="A29" s="303" t="s">
        <v>283</v>
      </c>
      <c r="B29" s="311">
        <v>1</v>
      </c>
      <c r="C29" s="305"/>
      <c r="D29" s="309">
        <f t="shared" si="16"/>
        <v>-1</v>
      </c>
      <c r="E29" s="305"/>
      <c r="F29" s="309">
        <f t="shared" si="17"/>
        <v>-1</v>
      </c>
      <c r="G29" s="305"/>
      <c r="H29" s="309">
        <f t="shared" si="18"/>
        <v>-1</v>
      </c>
      <c r="I29" s="307">
        <f t="shared" si="14"/>
        <v>0</v>
      </c>
      <c r="J29" s="314">
        <f t="shared" si="19"/>
        <v>-1</v>
      </c>
      <c r="K29" s="305"/>
      <c r="L29" s="309">
        <f t="shared" si="20"/>
        <v>-1</v>
      </c>
      <c r="M29" s="305"/>
      <c r="N29" s="309">
        <f t="shared" si="21"/>
        <v>-1</v>
      </c>
      <c r="O29" s="305"/>
      <c r="P29" s="309">
        <f t="shared" si="22"/>
        <v>-1</v>
      </c>
      <c r="Q29" s="307">
        <f t="shared" si="15"/>
        <v>0</v>
      </c>
      <c r="R29" s="314">
        <f t="shared" si="23"/>
        <v>-1</v>
      </c>
    </row>
    <row r="30" spans="1:18" hidden="1" x14ac:dyDescent="0.25">
      <c r="A30" s="303" t="s">
        <v>288</v>
      </c>
      <c r="B30" s="311">
        <v>1</v>
      </c>
      <c r="C30" s="305"/>
      <c r="D30" s="309">
        <f t="shared" si="16"/>
        <v>-1</v>
      </c>
      <c r="E30" s="305"/>
      <c r="F30" s="309">
        <f t="shared" si="17"/>
        <v>-1</v>
      </c>
      <c r="G30" s="305"/>
      <c r="H30" s="309">
        <f t="shared" si="18"/>
        <v>-1</v>
      </c>
      <c r="I30" s="307">
        <f t="shared" si="14"/>
        <v>0</v>
      </c>
      <c r="J30" s="314">
        <f t="shared" si="19"/>
        <v>-1</v>
      </c>
      <c r="K30" s="305"/>
      <c r="L30" s="309">
        <f t="shared" si="20"/>
        <v>-1</v>
      </c>
      <c r="M30" s="305"/>
      <c r="N30" s="309">
        <f t="shared" si="21"/>
        <v>-1</v>
      </c>
      <c r="O30" s="305"/>
      <c r="P30" s="309">
        <f t="shared" si="22"/>
        <v>-1</v>
      </c>
      <c r="Q30" s="307">
        <f t="shared" si="15"/>
        <v>0</v>
      </c>
      <c r="R30" s="314">
        <f t="shared" si="23"/>
        <v>-1</v>
      </c>
    </row>
    <row r="31" spans="1:18" hidden="1" x14ac:dyDescent="0.25">
      <c r="A31" s="303" t="s">
        <v>289</v>
      </c>
      <c r="B31" s="311">
        <v>1</v>
      </c>
      <c r="C31" s="305"/>
      <c r="D31" s="309">
        <f t="shared" si="16"/>
        <v>-1</v>
      </c>
      <c r="E31" s="305"/>
      <c r="F31" s="309">
        <f t="shared" si="17"/>
        <v>-1</v>
      </c>
      <c r="G31" s="305"/>
      <c r="H31" s="309">
        <f t="shared" si="18"/>
        <v>-1</v>
      </c>
      <c r="I31" s="307">
        <f t="shared" si="14"/>
        <v>0</v>
      </c>
      <c r="J31" s="314">
        <f t="shared" si="19"/>
        <v>-1</v>
      </c>
      <c r="K31" s="305"/>
      <c r="L31" s="309">
        <f t="shared" si="20"/>
        <v>-1</v>
      </c>
      <c r="M31" s="305"/>
      <c r="N31" s="309">
        <f t="shared" si="21"/>
        <v>-1</v>
      </c>
      <c r="O31" s="305"/>
      <c r="P31" s="309">
        <f t="shared" si="22"/>
        <v>-1</v>
      </c>
      <c r="Q31" s="307">
        <f t="shared" si="15"/>
        <v>0</v>
      </c>
      <c r="R31" s="314">
        <f t="shared" si="23"/>
        <v>-1</v>
      </c>
    </row>
    <row r="32" spans="1:18" hidden="1" x14ac:dyDescent="0.25">
      <c r="A32" s="303" t="s">
        <v>290</v>
      </c>
      <c r="B32" s="311">
        <v>2</v>
      </c>
      <c r="C32" s="305"/>
      <c r="D32" s="309">
        <f t="shared" si="16"/>
        <v>-1</v>
      </c>
      <c r="E32" s="305"/>
      <c r="F32" s="309">
        <f t="shared" si="17"/>
        <v>-1</v>
      </c>
      <c r="G32" s="305"/>
      <c r="H32" s="309">
        <f t="shared" si="18"/>
        <v>-1</v>
      </c>
      <c r="I32" s="307">
        <f t="shared" si="14"/>
        <v>0</v>
      </c>
      <c r="J32" s="314">
        <f t="shared" si="19"/>
        <v>-1</v>
      </c>
      <c r="K32" s="305"/>
      <c r="L32" s="309">
        <f t="shared" si="20"/>
        <v>-1</v>
      </c>
      <c r="M32" s="305"/>
      <c r="N32" s="309">
        <f t="shared" si="21"/>
        <v>-1</v>
      </c>
      <c r="O32" s="305"/>
      <c r="P32" s="309">
        <f t="shared" si="22"/>
        <v>-1</v>
      </c>
      <c r="Q32" s="307">
        <f t="shared" si="15"/>
        <v>0</v>
      </c>
      <c r="R32" s="314">
        <f t="shared" si="23"/>
        <v>-1</v>
      </c>
    </row>
    <row r="33" spans="1:18" hidden="1" x14ac:dyDescent="0.25">
      <c r="A33" s="303" t="s">
        <v>291</v>
      </c>
      <c r="B33" s="311">
        <v>4</v>
      </c>
      <c r="C33" s="305"/>
      <c r="D33" s="309">
        <f t="shared" si="16"/>
        <v>-1</v>
      </c>
      <c r="E33" s="305"/>
      <c r="F33" s="309">
        <f t="shared" si="17"/>
        <v>-1</v>
      </c>
      <c r="G33" s="305"/>
      <c r="H33" s="309">
        <f t="shared" si="18"/>
        <v>-1</v>
      </c>
      <c r="I33" s="307">
        <f t="shared" si="14"/>
        <v>0</v>
      </c>
      <c r="J33" s="314">
        <f t="shared" si="19"/>
        <v>-1</v>
      </c>
      <c r="K33" s="305"/>
      <c r="L33" s="309">
        <f t="shared" si="20"/>
        <v>-1</v>
      </c>
      <c r="M33" s="305"/>
      <c r="N33" s="309">
        <f t="shared" si="21"/>
        <v>-1</v>
      </c>
      <c r="O33" s="305"/>
      <c r="P33" s="309">
        <f t="shared" si="22"/>
        <v>-1</v>
      </c>
      <c r="Q33" s="307">
        <f t="shared" si="15"/>
        <v>0</v>
      </c>
      <c r="R33" s="314">
        <f t="shared" si="23"/>
        <v>-1</v>
      </c>
    </row>
    <row r="34" spans="1:18" hidden="1" x14ac:dyDescent="0.25">
      <c r="A34" s="303" t="s">
        <v>292</v>
      </c>
      <c r="B34" s="332">
        <v>1</v>
      </c>
      <c r="C34" s="305"/>
      <c r="D34" s="309">
        <f t="shared" si="16"/>
        <v>-1</v>
      </c>
      <c r="E34" s="305"/>
      <c r="F34" s="309">
        <f t="shared" si="17"/>
        <v>-1</v>
      </c>
      <c r="G34" s="305"/>
      <c r="H34" s="309">
        <f t="shared" si="18"/>
        <v>-1</v>
      </c>
      <c r="I34" s="307">
        <f t="shared" si="14"/>
        <v>0</v>
      </c>
      <c r="J34" s="314">
        <f t="shared" si="19"/>
        <v>-1</v>
      </c>
      <c r="K34" s="305"/>
      <c r="L34" s="309">
        <f t="shared" si="20"/>
        <v>-1</v>
      </c>
      <c r="M34" s="305"/>
      <c r="N34" s="309">
        <f t="shared" si="21"/>
        <v>-1</v>
      </c>
      <c r="O34" s="305"/>
      <c r="P34" s="309">
        <f t="shared" si="22"/>
        <v>-1</v>
      </c>
      <c r="Q34" s="307">
        <f t="shared" si="15"/>
        <v>0</v>
      </c>
      <c r="R34" s="314">
        <f t="shared" si="23"/>
        <v>-1</v>
      </c>
    </row>
    <row r="35" spans="1:18" ht="15.75" hidden="1" thickBot="1" x14ac:dyDescent="0.3">
      <c r="A35" s="301" t="s">
        <v>150</v>
      </c>
      <c r="B35" s="335">
        <v>1</v>
      </c>
      <c r="C35" s="334"/>
      <c r="D35" s="309">
        <f t="shared" si="16"/>
        <v>-1</v>
      </c>
      <c r="E35" s="334"/>
      <c r="F35" s="309">
        <f t="shared" si="17"/>
        <v>-1</v>
      </c>
      <c r="G35" s="334"/>
      <c r="H35" s="309">
        <f t="shared" si="18"/>
        <v>-1</v>
      </c>
      <c r="I35" s="307">
        <f t="shared" si="14"/>
        <v>0</v>
      </c>
      <c r="J35" s="314">
        <f t="shared" si="19"/>
        <v>-1</v>
      </c>
      <c r="K35" s="334"/>
      <c r="L35" s="309">
        <f t="shared" si="20"/>
        <v>-1</v>
      </c>
      <c r="M35" s="334"/>
      <c r="N35" s="309">
        <f t="shared" si="21"/>
        <v>-1</v>
      </c>
      <c r="O35" s="334"/>
      <c r="P35" s="309">
        <f t="shared" si="22"/>
        <v>-1</v>
      </c>
      <c r="Q35" s="307">
        <f t="shared" si="15"/>
        <v>0</v>
      </c>
      <c r="R35" s="314">
        <f t="shared" si="23"/>
        <v>-1</v>
      </c>
    </row>
    <row r="36" spans="1:18" ht="15.75" hidden="1" thickBot="1" x14ac:dyDescent="0.3">
      <c r="A36" s="44" t="s">
        <v>6</v>
      </c>
      <c r="B36" s="350">
        <f>SUM(B23:B35)</f>
        <v>39</v>
      </c>
      <c r="C36" s="48">
        <f>SUM(C26:C35)</f>
        <v>0</v>
      </c>
      <c r="D36" s="365">
        <f>((C36/$B36))-1</f>
        <v>-1</v>
      </c>
      <c r="E36" s="48">
        <f>SUM(E26:E35)</f>
        <v>0</v>
      </c>
      <c r="F36" s="365">
        <f>((E36/$B36))-1</f>
        <v>-1</v>
      </c>
      <c r="G36" s="48">
        <f>SUM(G26:G35)</f>
        <v>0</v>
      </c>
      <c r="H36" s="366">
        <f>((G36/$B36))-1</f>
        <v>-1</v>
      </c>
      <c r="I36" s="352">
        <f>C36+E36+G36</f>
        <v>0</v>
      </c>
      <c r="J36" s="353">
        <f>((I36/(3*$B36)))-1</f>
        <v>-1</v>
      </c>
      <c r="K36" s="48">
        <f>SUM(K26:K35)</f>
        <v>0</v>
      </c>
      <c r="L36" s="365">
        <f>((K36/$B36))-1</f>
        <v>-1</v>
      </c>
      <c r="M36" s="48">
        <f>SUM(M26:M35)</f>
        <v>0</v>
      </c>
      <c r="N36" s="365">
        <f>((M36/$B36))-1</f>
        <v>-1</v>
      </c>
      <c r="O36" s="48">
        <f>SUM(O26:O35)</f>
        <v>0</v>
      </c>
      <c r="P36" s="366">
        <f>((O36/$B36))-1</f>
        <v>-1</v>
      </c>
      <c r="Q36" s="352">
        <f>K36+M36+O36</f>
        <v>0</v>
      </c>
      <c r="R36" s="361">
        <f>((Q36/(3*$B36)))-1</f>
        <v>-1</v>
      </c>
    </row>
    <row r="37" spans="1:18" hidden="1" x14ac:dyDescent="0.25"/>
    <row r="38" spans="1:18" hidden="1" x14ac:dyDescent="0.25"/>
    <row r="39" spans="1:18" hidden="1" x14ac:dyDescent="0.25"/>
    <row r="40" spans="1:18" hidden="1" x14ac:dyDescent="0.25"/>
    <row r="41" spans="1:18" hidden="1" x14ac:dyDescent="0.25"/>
  </sheetData>
  <mergeCells count="4">
    <mergeCell ref="A2:R2"/>
    <mergeCell ref="A3:R3"/>
    <mergeCell ref="A5:R5"/>
    <mergeCell ref="A21:R2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&amp;L&amp;12Fonte: Sistema WEBSAASS / SMS&amp;R&amp;12pag. 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2:R43"/>
  <sheetViews>
    <sheetView showGridLines="0" view="pageBreakPreview" zoomScale="90" zoomScaleNormal="100" zoomScaleSheetLayoutView="90" workbookViewId="0">
      <selection activeCell="A6" sqref="A6"/>
    </sheetView>
  </sheetViews>
  <sheetFormatPr defaultColWidth="8.85546875" defaultRowHeight="15" x14ac:dyDescent="0.25"/>
  <cols>
    <col min="1" max="1" width="34.7109375" customWidth="1"/>
    <col min="2" max="2" width="9" bestFit="1" customWidth="1"/>
    <col min="3" max="3" width="9" style="18" bestFit="1" customWidth="1"/>
    <col min="4" max="4" width="8.140625" bestFit="1" customWidth="1"/>
    <col min="5" max="5" width="9" bestFit="1" customWidth="1"/>
    <col min="6" max="6" width="8.140625" bestFit="1" customWidth="1"/>
    <col min="7" max="7" width="9" bestFit="1" customWidth="1"/>
    <col min="8" max="8" width="8.140625" bestFit="1" customWidth="1"/>
    <col min="9" max="9" width="9.28515625" customWidth="1"/>
    <col min="10" max="10" width="8.140625" bestFit="1" customWidth="1"/>
    <col min="11" max="11" width="9" bestFit="1" customWidth="1"/>
    <col min="12" max="12" width="8.140625" bestFit="1" customWidth="1"/>
    <col min="13" max="13" width="9" bestFit="1" customWidth="1"/>
    <col min="14" max="14" width="8.140625" bestFit="1" customWidth="1"/>
    <col min="15" max="15" width="9" bestFit="1" customWidth="1"/>
    <col min="16" max="16" width="8.140625" customWidth="1"/>
    <col min="17" max="17" width="9.28515625" customWidth="1"/>
    <col min="18" max="18" width="8.140625" bestFit="1" customWidth="1"/>
  </cols>
  <sheetData>
    <row r="2" spans="1:18" ht="18" x14ac:dyDescent="0.35">
      <c r="A2" s="602" t="s">
        <v>235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8" x14ac:dyDescent="0.35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5" spans="1:18" ht="15.75" x14ac:dyDescent="0.25">
      <c r="A5" s="603" t="s">
        <v>212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</row>
    <row r="6" spans="1:18" ht="24.75" thickBot="1" x14ac:dyDescent="0.3">
      <c r="A6" s="65" t="s">
        <v>12</v>
      </c>
      <c r="B6" s="66" t="s">
        <v>13</v>
      </c>
      <c r="C6" s="111" t="str">
        <f>'UBS Vila Dalva'!C6</f>
        <v>JUL</v>
      </c>
      <c r="D6" s="112" t="str">
        <f>'UBS Vila Dalva'!D6</f>
        <v>%</v>
      </c>
      <c r="E6" s="111" t="str">
        <f>'UBS Vila Dalva'!E6</f>
        <v>AGO</v>
      </c>
      <c r="F6" s="112" t="str">
        <f>'UBS Vila Dalva'!F6</f>
        <v>%</v>
      </c>
      <c r="G6" s="111" t="str">
        <f>'UBS Vila Dalva'!G6</f>
        <v>SET</v>
      </c>
      <c r="H6" s="112" t="str">
        <f>'UBS Vila Dalva'!H6</f>
        <v>%</v>
      </c>
      <c r="I6" s="113" t="str">
        <f>'UBS Vila Dalva'!I6</f>
        <v>Trimestre</v>
      </c>
      <c r="J6" s="113" t="str">
        <f>'UBS Vila Dalva'!J6</f>
        <v>%</v>
      </c>
      <c r="K6" s="111" t="str">
        <f>'UBS Vila Dalva'!K6</f>
        <v>OUT</v>
      </c>
      <c r="L6" s="112" t="str">
        <f>'UBS Vila Dalva'!L6</f>
        <v>%</v>
      </c>
      <c r="M6" s="111" t="str">
        <f>'UBS Vila Dalva'!M6</f>
        <v>NOV</v>
      </c>
      <c r="N6" s="112" t="str">
        <f>'UBS Vila Dalva'!N6</f>
        <v>%</v>
      </c>
      <c r="O6" s="111" t="str">
        <f>'UBS Vila Dalva'!O6</f>
        <v>DEZ</v>
      </c>
      <c r="P6" s="112" t="str">
        <f>'UBS Vila Dalva'!P6</f>
        <v>%</v>
      </c>
      <c r="Q6" s="113" t="str">
        <f>'UBS Vila Dalva'!Q6</f>
        <v>Trimestre</v>
      </c>
      <c r="R6" s="113" t="str">
        <f>'UBS Vila Dalva'!R6</f>
        <v>%</v>
      </c>
    </row>
    <row r="7" spans="1:18" ht="24.75" thickTop="1" x14ac:dyDescent="0.25">
      <c r="A7" s="588" t="s">
        <v>7</v>
      </c>
      <c r="B7" s="3">
        <v>666</v>
      </c>
      <c r="C7" s="4">
        <v>270</v>
      </c>
      <c r="D7" s="7">
        <f>((C7/$B7))-1</f>
        <v>-0.59459459459459452</v>
      </c>
      <c r="E7" s="194">
        <v>426</v>
      </c>
      <c r="F7" s="7">
        <f>((E7/$B7))-1</f>
        <v>-0.36036036036036034</v>
      </c>
      <c r="G7" s="194">
        <v>350</v>
      </c>
      <c r="H7" s="7">
        <f>((G7/$B7))-1</f>
        <v>-0.47447447447447444</v>
      </c>
      <c r="I7" s="5">
        <f t="shared" ref="I7:I12" si="0">C7+E7+G7</f>
        <v>1046</v>
      </c>
      <c r="J7" s="8">
        <f>((I7/(3*$B7)))-1</f>
        <v>-0.47647647647647651</v>
      </c>
      <c r="K7" s="194">
        <v>315</v>
      </c>
      <c r="L7" s="7">
        <f>((K7/$B7))-1</f>
        <v>-0.52702702702702697</v>
      </c>
      <c r="M7" s="194">
        <v>102</v>
      </c>
      <c r="N7" s="7">
        <f>((M7/$B7))-1</f>
        <v>-0.84684684684684686</v>
      </c>
      <c r="O7" s="194">
        <v>55</v>
      </c>
      <c r="P7" s="7">
        <f>((O7/$B7))-1</f>
        <v>-0.91741741741741745</v>
      </c>
      <c r="Q7" s="5">
        <f t="shared" ref="Q7:Q12" si="1">K7+M7+O7</f>
        <v>472</v>
      </c>
      <c r="R7" s="8">
        <f>((Q7/(3*$B7)))-1</f>
        <v>-0.76376376376376376</v>
      </c>
    </row>
    <row r="8" spans="1:18" x14ac:dyDescent="0.25">
      <c r="A8" s="588" t="s">
        <v>8</v>
      </c>
      <c r="B8" s="68">
        <v>2664</v>
      </c>
      <c r="C8" s="69">
        <v>1357</v>
      </c>
      <c r="D8" s="7">
        <f t="shared" ref="D8:D13" si="2">((C8/$B8))-1</f>
        <v>-0.49061561561561562</v>
      </c>
      <c r="E8" s="285">
        <v>1974</v>
      </c>
      <c r="F8" s="7">
        <f t="shared" ref="F8:F12" si="3">((E8/$B8))-1</f>
        <v>-0.25900900900900903</v>
      </c>
      <c r="G8" s="285">
        <v>2003</v>
      </c>
      <c r="H8" s="7">
        <f t="shared" ref="H8:H12" si="4">((G8/$B8))-1</f>
        <v>-0.24812312312312312</v>
      </c>
      <c r="I8" s="5">
        <f t="shared" si="0"/>
        <v>5334</v>
      </c>
      <c r="J8" s="8">
        <f t="shared" ref="J8:J12" si="5">((I8/(3*$B8)))-1</f>
        <v>-0.33258258258258255</v>
      </c>
      <c r="K8" s="285">
        <v>1785</v>
      </c>
      <c r="L8" s="7">
        <f t="shared" ref="L8:L12" si="6">((K8/$B8))-1</f>
        <v>-0.32995495495495497</v>
      </c>
      <c r="M8" s="285">
        <v>860</v>
      </c>
      <c r="N8" s="7">
        <f t="shared" ref="N8:N12" si="7">((M8/$B8))-1</f>
        <v>-0.67717717717717718</v>
      </c>
      <c r="O8" s="285">
        <v>131</v>
      </c>
      <c r="P8" s="7">
        <f t="shared" ref="P8:P12" si="8">((O8/$B8))-1</f>
        <v>-0.95082582582582587</v>
      </c>
      <c r="Q8" s="5">
        <f t="shared" si="1"/>
        <v>2776</v>
      </c>
      <c r="R8" s="8">
        <f t="shared" ref="R8:R13" si="9">((Q8/(3*$B8)))-1</f>
        <v>-0.6526526526526526</v>
      </c>
    </row>
    <row r="9" spans="1:18" x14ac:dyDescent="0.25">
      <c r="A9" s="67" t="s">
        <v>9</v>
      </c>
      <c r="B9" s="68">
        <v>1578</v>
      </c>
      <c r="C9" s="69">
        <v>4029</v>
      </c>
      <c r="D9" s="7">
        <f t="shared" si="2"/>
        <v>1.5532319391634979</v>
      </c>
      <c r="E9" s="285">
        <v>3861</v>
      </c>
      <c r="F9" s="7">
        <f t="shared" si="3"/>
        <v>1.4467680608365021</v>
      </c>
      <c r="G9" s="285">
        <v>4765</v>
      </c>
      <c r="H9" s="7">
        <f t="shared" si="4"/>
        <v>2.0196451204055768</v>
      </c>
      <c r="I9" s="5">
        <f t="shared" si="0"/>
        <v>12655</v>
      </c>
      <c r="J9" s="8">
        <f t="shared" si="5"/>
        <v>1.6732150401351924</v>
      </c>
      <c r="K9" s="285">
        <v>4439</v>
      </c>
      <c r="L9" s="7">
        <f t="shared" si="6"/>
        <v>1.8130544993662863</v>
      </c>
      <c r="M9" s="285">
        <v>1403</v>
      </c>
      <c r="N9" s="7">
        <f t="shared" si="7"/>
        <v>-0.11089987325728767</v>
      </c>
      <c r="O9" s="285">
        <v>1679</v>
      </c>
      <c r="P9" s="7">
        <f t="shared" si="8"/>
        <v>6.4005069708491735E-2</v>
      </c>
      <c r="Q9" s="5">
        <f t="shared" si="1"/>
        <v>7521</v>
      </c>
      <c r="R9" s="8">
        <f t="shared" si="9"/>
        <v>0.58871989860583018</v>
      </c>
    </row>
    <row r="10" spans="1:18" x14ac:dyDescent="0.25">
      <c r="A10" s="67" t="s">
        <v>11</v>
      </c>
      <c r="B10" s="68">
        <v>1052</v>
      </c>
      <c r="C10" s="69">
        <v>876</v>
      </c>
      <c r="D10" s="7">
        <f t="shared" si="2"/>
        <v>-0.16730038022813687</v>
      </c>
      <c r="E10" s="285">
        <v>829</v>
      </c>
      <c r="F10" s="7">
        <f t="shared" si="3"/>
        <v>-0.21197718631178708</v>
      </c>
      <c r="G10" s="285">
        <v>775</v>
      </c>
      <c r="H10" s="7">
        <f t="shared" si="4"/>
        <v>-0.26330798479087447</v>
      </c>
      <c r="I10" s="5">
        <f t="shared" si="0"/>
        <v>2480</v>
      </c>
      <c r="J10" s="8">
        <f t="shared" si="5"/>
        <v>-0.21419518377693281</v>
      </c>
      <c r="K10" s="285">
        <v>777</v>
      </c>
      <c r="L10" s="7">
        <f t="shared" si="6"/>
        <v>-0.26140684410646386</v>
      </c>
      <c r="M10" s="285">
        <v>913</v>
      </c>
      <c r="N10" s="7">
        <f t="shared" si="7"/>
        <v>-0.13212927756653992</v>
      </c>
      <c r="O10" s="285">
        <v>1021</v>
      </c>
      <c r="P10" s="7">
        <f t="shared" si="8"/>
        <v>-2.9467680608365021E-2</v>
      </c>
      <c r="Q10" s="5">
        <f t="shared" si="1"/>
        <v>2711</v>
      </c>
      <c r="R10" s="8">
        <f t="shared" si="9"/>
        <v>-0.14100126742712293</v>
      </c>
    </row>
    <row r="11" spans="1:18" x14ac:dyDescent="0.25">
      <c r="A11" s="70" t="s">
        <v>18</v>
      </c>
      <c r="B11" s="71">
        <v>789</v>
      </c>
      <c r="C11" s="72">
        <v>1400</v>
      </c>
      <c r="D11" s="41">
        <f t="shared" si="2"/>
        <v>0.77439797211660322</v>
      </c>
      <c r="E11" s="285">
        <v>1829</v>
      </c>
      <c r="F11" s="41">
        <f t="shared" si="3"/>
        <v>1.3181242078580482</v>
      </c>
      <c r="G11" s="285">
        <v>1873</v>
      </c>
      <c r="H11" s="41">
        <f t="shared" si="4"/>
        <v>1.373891001267427</v>
      </c>
      <c r="I11" s="5">
        <f t="shared" si="0"/>
        <v>5102</v>
      </c>
      <c r="J11" s="121">
        <f t="shared" si="5"/>
        <v>1.1554710604140261</v>
      </c>
      <c r="K11" s="285">
        <v>2164</v>
      </c>
      <c r="L11" s="41">
        <f t="shared" si="6"/>
        <v>1.7427122940430926</v>
      </c>
      <c r="M11" s="285">
        <v>680</v>
      </c>
      <c r="N11" s="119">
        <f t="shared" si="7"/>
        <v>-0.13814955640050697</v>
      </c>
      <c r="O11" s="285">
        <v>761</v>
      </c>
      <c r="P11" s="119">
        <f t="shared" si="8"/>
        <v>-3.5487959442332073E-2</v>
      </c>
      <c r="Q11" s="5">
        <f t="shared" si="1"/>
        <v>3605</v>
      </c>
      <c r="R11" s="121">
        <f t="shared" si="9"/>
        <v>0.52302492606675122</v>
      </c>
    </row>
    <row r="12" spans="1:18" ht="15.75" thickBot="1" x14ac:dyDescent="0.3">
      <c r="A12" s="73" t="s">
        <v>10</v>
      </c>
      <c r="B12" s="74">
        <v>332</v>
      </c>
      <c r="C12" s="75">
        <v>49</v>
      </c>
      <c r="D12" s="76">
        <f t="shared" si="2"/>
        <v>-0.85240963855421681</v>
      </c>
      <c r="E12" s="286">
        <v>229</v>
      </c>
      <c r="F12" s="76">
        <f t="shared" si="3"/>
        <v>-0.31024096385542166</v>
      </c>
      <c r="G12" s="286">
        <v>214</v>
      </c>
      <c r="H12" s="76">
        <f t="shared" si="4"/>
        <v>-0.35542168674698793</v>
      </c>
      <c r="I12" s="42">
        <f t="shared" si="0"/>
        <v>492</v>
      </c>
      <c r="J12" s="182">
        <f t="shared" si="5"/>
        <v>-0.50602409638554224</v>
      </c>
      <c r="K12" s="286">
        <v>204</v>
      </c>
      <c r="L12" s="76">
        <f t="shared" si="6"/>
        <v>-0.38554216867469882</v>
      </c>
      <c r="M12" s="286">
        <v>203</v>
      </c>
      <c r="N12" s="76">
        <f t="shared" si="7"/>
        <v>-0.38855421686746983</v>
      </c>
      <c r="O12" s="286">
        <v>237</v>
      </c>
      <c r="P12" s="76">
        <f t="shared" si="8"/>
        <v>-0.28614457831325302</v>
      </c>
      <c r="Q12" s="120">
        <f t="shared" si="1"/>
        <v>644</v>
      </c>
      <c r="R12" s="182">
        <f t="shared" si="9"/>
        <v>-0.35341365461847385</v>
      </c>
    </row>
    <row r="13" spans="1:18" ht="15.75" thickBot="1" x14ac:dyDescent="0.3">
      <c r="A13" s="44" t="s">
        <v>6</v>
      </c>
      <c r="B13" s="46">
        <f>SUM(B7:B12)</f>
        <v>7081</v>
      </c>
      <c r="C13" s="48">
        <f>SUM(C7:C12)</f>
        <v>7981</v>
      </c>
      <c r="D13" s="52">
        <f t="shared" si="2"/>
        <v>0.1271006919926565</v>
      </c>
      <c r="E13" s="48">
        <f>SUM(E7:E12)</f>
        <v>9148</v>
      </c>
      <c r="F13" s="52">
        <f>((E13/$B13))-1</f>
        <v>0.29190792260980092</v>
      </c>
      <c r="G13" s="48">
        <f>SUM(G7:G12)</f>
        <v>9980</v>
      </c>
      <c r="H13" s="52">
        <f>((G13/$B13))-1</f>
        <v>0.40940545120745653</v>
      </c>
      <c r="I13" s="47">
        <f>C13+E13+G13</f>
        <v>27109</v>
      </c>
      <c r="J13" s="122">
        <f>((I13/(3*$B13)))-1</f>
        <v>0.27613802193663806</v>
      </c>
      <c r="K13" s="48">
        <f>SUM(K7:K12)</f>
        <v>9684</v>
      </c>
      <c r="L13" s="52">
        <f>((K13/$B13))-1</f>
        <v>0.36760344584098292</v>
      </c>
      <c r="M13" s="48">
        <f>SUM(M7:M12)</f>
        <v>4161</v>
      </c>
      <c r="N13" s="52">
        <f>((M13/$B13))-1</f>
        <v>-0.41237113402061853</v>
      </c>
      <c r="O13" s="48">
        <f>SUM(O7:O12)</f>
        <v>3884</v>
      </c>
      <c r="P13" s="52">
        <f>((O13/$B13))-1</f>
        <v>-0.45148990255613619</v>
      </c>
      <c r="Q13" s="47">
        <f>K13+M13+O13</f>
        <v>17729</v>
      </c>
      <c r="R13" s="122">
        <f t="shared" si="9"/>
        <v>-0.16541919691192397</v>
      </c>
    </row>
    <row r="16" spans="1:18" ht="15.75" hidden="1" x14ac:dyDescent="0.25">
      <c r="A16" s="603" t="s">
        <v>213</v>
      </c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</row>
    <row r="17" spans="1:18" ht="24.75" hidden="1" thickBot="1" x14ac:dyDescent="0.3">
      <c r="A17" s="77" t="s">
        <v>12</v>
      </c>
      <c r="B17" s="78" t="s">
        <v>13</v>
      </c>
      <c r="C17" s="111" t="str">
        <f>'UBS Vila Dalva'!C6</f>
        <v>JUL</v>
      </c>
      <c r="D17" s="112" t="str">
        <f>'UBS Vila Dalva'!D6</f>
        <v>%</v>
      </c>
      <c r="E17" s="111" t="str">
        <f>'UBS Vila Dalva'!E6</f>
        <v>AGO</v>
      </c>
      <c r="F17" s="112" t="str">
        <f>'UBS Vila Dalva'!F6</f>
        <v>%</v>
      </c>
      <c r="G17" s="111" t="str">
        <f>'UBS Vila Dalva'!G6</f>
        <v>SET</v>
      </c>
      <c r="H17" s="112" t="str">
        <f>'UBS Vila Dalva'!H6</f>
        <v>%</v>
      </c>
      <c r="I17" s="113" t="str">
        <f>'UBS Vila Dalva'!I6</f>
        <v>Trimestre</v>
      </c>
      <c r="J17" s="113" t="str">
        <f>'UBS Vila Dalva'!J6</f>
        <v>%</v>
      </c>
      <c r="K17" s="111" t="str">
        <f>'UBS Vila Dalva'!K6</f>
        <v>OUT</v>
      </c>
      <c r="L17" s="112" t="str">
        <f>'UBS Vila Dalva'!L6</f>
        <v>%</v>
      </c>
      <c r="M17" s="111" t="str">
        <f>'UBS Vila Dalva'!M6</f>
        <v>NOV</v>
      </c>
      <c r="N17" s="112" t="str">
        <f>'UBS Vila Dalva'!N6</f>
        <v>%</v>
      </c>
      <c r="O17" s="111" t="str">
        <f>'UBS Vila Dalva'!O6</f>
        <v>DEZ</v>
      </c>
      <c r="P17" s="112" t="str">
        <f>'UBS Vila Dalva'!P6</f>
        <v>%</v>
      </c>
      <c r="Q17" s="113" t="str">
        <f>'UBS Vila Dalva'!Q6</f>
        <v>Trimestre</v>
      </c>
      <c r="R17" s="113" t="str">
        <f>'UBS Vila Dalva'!R6</f>
        <v>%</v>
      </c>
    </row>
    <row r="18" spans="1:18" ht="15.75" hidden="1" thickTop="1" x14ac:dyDescent="0.25">
      <c r="A18" s="67" t="s">
        <v>17</v>
      </c>
      <c r="B18" s="80">
        <v>6</v>
      </c>
      <c r="C18" s="284"/>
      <c r="D18" s="7">
        <f t="shared" ref="D18:D29" si="10">((C18/$B18))-1</f>
        <v>-1</v>
      </c>
      <c r="E18" s="288"/>
      <c r="F18" s="7">
        <f t="shared" ref="F18:F29" si="11">((E18/$B18))-1</f>
        <v>-1</v>
      </c>
      <c r="G18" s="288"/>
      <c r="H18" s="7">
        <f t="shared" ref="H18:H29" si="12">((G18/$B18))-1</f>
        <v>-1</v>
      </c>
      <c r="I18" s="5">
        <f t="shared" ref="I18:I29" si="13">C18+E18+G18</f>
        <v>0</v>
      </c>
      <c r="J18" s="8">
        <f t="shared" ref="J18:J29" si="14">((I18/(3*$B18)))-1</f>
        <v>-1</v>
      </c>
      <c r="K18" s="81"/>
      <c r="L18" s="7">
        <f t="shared" ref="L18:L29" si="15">((K18/$B18))-1</f>
        <v>-1</v>
      </c>
      <c r="M18" s="287"/>
      <c r="N18" s="7">
        <f t="shared" ref="N18:N29" si="16">((M18/$B18))-1</f>
        <v>-1</v>
      </c>
      <c r="O18" s="290"/>
      <c r="P18" s="7">
        <f t="shared" ref="P18:P29" si="17">((O18/$B18))-1</f>
        <v>-1</v>
      </c>
      <c r="Q18" s="5">
        <f t="shared" ref="Q18:Q29" si="18">K18+M18+O18</f>
        <v>0</v>
      </c>
      <c r="R18" s="8">
        <f t="shared" ref="R18:R29" si="19">((Q18/(3*$B18)))-1</f>
        <v>-1</v>
      </c>
    </row>
    <row r="19" spans="1:18" hidden="1" x14ac:dyDescent="0.25">
      <c r="A19" s="67" t="s">
        <v>294</v>
      </c>
      <c r="B19" s="80">
        <v>6</v>
      </c>
      <c r="C19" s="81"/>
      <c r="D19" s="7">
        <f t="shared" si="10"/>
        <v>-1</v>
      </c>
      <c r="E19" s="285"/>
      <c r="F19" s="7">
        <f t="shared" si="11"/>
        <v>-1</v>
      </c>
      <c r="G19" s="81"/>
      <c r="H19" s="7">
        <f t="shared" si="12"/>
        <v>-1</v>
      </c>
      <c r="I19" s="5">
        <f t="shared" si="13"/>
        <v>0</v>
      </c>
      <c r="J19" s="8">
        <f t="shared" si="14"/>
        <v>-1</v>
      </c>
      <c r="K19" s="81"/>
      <c r="L19" s="7">
        <f t="shared" si="15"/>
        <v>-1</v>
      </c>
      <c r="M19" s="81"/>
      <c r="N19" s="7">
        <f t="shared" si="16"/>
        <v>-1</v>
      </c>
      <c r="O19" s="81"/>
      <c r="P19" s="7">
        <f t="shared" si="17"/>
        <v>-1</v>
      </c>
      <c r="Q19" s="5">
        <f t="shared" si="18"/>
        <v>0</v>
      </c>
      <c r="R19" s="8">
        <f t="shared" si="19"/>
        <v>-1</v>
      </c>
    </row>
    <row r="20" spans="1:18" hidden="1" x14ac:dyDescent="0.25">
      <c r="A20" s="67" t="s">
        <v>185</v>
      </c>
      <c r="B20" s="80">
        <v>4</v>
      </c>
      <c r="C20" s="276"/>
      <c r="D20" s="7">
        <f t="shared" si="10"/>
        <v>-1</v>
      </c>
      <c r="E20" s="289"/>
      <c r="F20" s="7">
        <f t="shared" si="11"/>
        <v>-1</v>
      </c>
      <c r="G20" s="289"/>
      <c r="H20" s="7">
        <f t="shared" si="12"/>
        <v>-1</v>
      </c>
      <c r="I20" s="5">
        <f t="shared" si="13"/>
        <v>0</v>
      </c>
      <c r="J20" s="8">
        <f t="shared" si="14"/>
        <v>-1</v>
      </c>
      <c r="K20" s="289"/>
      <c r="L20" s="7">
        <f t="shared" si="15"/>
        <v>-1</v>
      </c>
      <c r="M20" s="289"/>
      <c r="N20" s="7">
        <f t="shared" si="16"/>
        <v>-1</v>
      </c>
      <c r="O20" s="93"/>
      <c r="P20" s="7">
        <f t="shared" si="17"/>
        <v>-1</v>
      </c>
      <c r="Q20" s="5">
        <f t="shared" si="18"/>
        <v>0</v>
      </c>
      <c r="R20" s="8">
        <f t="shared" si="19"/>
        <v>-1</v>
      </c>
    </row>
    <row r="21" spans="1:18" hidden="1" x14ac:dyDescent="0.25">
      <c r="A21" s="70" t="s">
        <v>186</v>
      </c>
      <c r="B21" s="80">
        <v>3</v>
      </c>
      <c r="C21" s="81"/>
      <c r="D21" s="7">
        <f t="shared" si="10"/>
        <v>-1</v>
      </c>
      <c r="E21" s="285"/>
      <c r="F21" s="7">
        <f t="shared" si="11"/>
        <v>-1</v>
      </c>
      <c r="G21" s="81"/>
      <c r="H21" s="7">
        <f t="shared" si="12"/>
        <v>-1</v>
      </c>
      <c r="I21" s="5">
        <f t="shared" si="13"/>
        <v>0</v>
      </c>
      <c r="J21" s="8">
        <f t="shared" si="14"/>
        <v>-1</v>
      </c>
      <c r="K21" s="81"/>
      <c r="L21" s="7">
        <f t="shared" si="15"/>
        <v>-1</v>
      </c>
      <c r="M21" s="81"/>
      <c r="N21" s="7">
        <f t="shared" si="16"/>
        <v>-1</v>
      </c>
      <c r="O21" s="81"/>
      <c r="P21" s="7">
        <f t="shared" si="17"/>
        <v>-1</v>
      </c>
      <c r="Q21" s="5">
        <f t="shared" si="18"/>
        <v>0</v>
      </c>
      <c r="R21" s="8">
        <f t="shared" si="19"/>
        <v>-1</v>
      </c>
    </row>
    <row r="22" spans="1:18" hidden="1" x14ac:dyDescent="0.25">
      <c r="A22" s="73" t="s">
        <v>266</v>
      </c>
      <c r="B22" s="80">
        <v>2</v>
      </c>
      <c r="C22" s="81"/>
      <c r="D22" s="7">
        <f t="shared" si="10"/>
        <v>-1</v>
      </c>
      <c r="E22" s="285"/>
      <c r="F22" s="7">
        <f t="shared" si="11"/>
        <v>-1</v>
      </c>
      <c r="G22" s="81"/>
      <c r="H22" s="7">
        <f t="shared" si="12"/>
        <v>-1</v>
      </c>
      <c r="I22" s="5">
        <f t="shared" si="13"/>
        <v>0</v>
      </c>
      <c r="J22" s="8">
        <f t="shared" si="14"/>
        <v>-1</v>
      </c>
      <c r="K22" s="81"/>
      <c r="L22" s="7">
        <f t="shared" si="15"/>
        <v>-1</v>
      </c>
      <c r="M22" s="81"/>
      <c r="N22" s="7">
        <f t="shared" si="16"/>
        <v>-1</v>
      </c>
      <c r="O22" s="81"/>
      <c r="P22" s="7">
        <f t="shared" si="17"/>
        <v>-1</v>
      </c>
      <c r="Q22" s="5">
        <f t="shared" si="18"/>
        <v>0</v>
      </c>
      <c r="R22" s="8">
        <f t="shared" si="19"/>
        <v>-1</v>
      </c>
    </row>
    <row r="23" spans="1:18" hidden="1" x14ac:dyDescent="0.25">
      <c r="A23" s="316" t="s">
        <v>174</v>
      </c>
      <c r="B23" s="205">
        <v>2</v>
      </c>
      <c r="C23" s="93"/>
      <c r="D23" s="198">
        <f t="shared" ref="D23:D24" si="20">((C23/$B23))-1</f>
        <v>-1</v>
      </c>
      <c r="E23" s="93"/>
      <c r="F23" s="198">
        <f t="shared" ref="F23:F24" si="21">((E23/$B23))-1</f>
        <v>-1</v>
      </c>
      <c r="G23" s="93"/>
      <c r="H23" s="198">
        <f t="shared" ref="H23:H24" si="22">((G23/$B23))-1</f>
        <v>-1</v>
      </c>
      <c r="I23" s="199">
        <f t="shared" ref="I23:I24" si="23">C23+E23+G23</f>
        <v>0</v>
      </c>
      <c r="J23" s="200">
        <f t="shared" ref="J23:J24" si="24">((I23/(3*$B23)))-1</f>
        <v>-1</v>
      </c>
      <c r="K23" s="93"/>
      <c r="L23" s="198">
        <f t="shared" ref="L23:L24" si="25">((K23/$B23))-1</f>
        <v>-1</v>
      </c>
      <c r="M23" s="93"/>
      <c r="N23" s="198">
        <f t="shared" ref="N23:N24" si="26">((M23/$B23))-1</f>
        <v>-1</v>
      </c>
      <c r="O23" s="93"/>
      <c r="P23" s="198">
        <f t="shared" ref="P23:P24" si="27">((O23/$B23))-1</f>
        <v>-1</v>
      </c>
      <c r="Q23" s="199">
        <f t="shared" ref="Q23:Q24" si="28">K23+M23+O23</f>
        <v>0</v>
      </c>
      <c r="R23" s="200">
        <f t="shared" ref="R23:R24" si="29">((Q23/(3*$B23)))-1</f>
        <v>-1</v>
      </c>
    </row>
    <row r="24" spans="1:18" hidden="1" x14ac:dyDescent="0.25">
      <c r="A24" s="316" t="s">
        <v>146</v>
      </c>
      <c r="B24" s="205">
        <v>7</v>
      </c>
      <c r="C24" s="93"/>
      <c r="D24" s="198">
        <f t="shared" si="20"/>
        <v>-1</v>
      </c>
      <c r="E24" s="93"/>
      <c r="F24" s="198">
        <f t="shared" si="21"/>
        <v>-1</v>
      </c>
      <c r="G24" s="93"/>
      <c r="H24" s="198">
        <f t="shared" si="22"/>
        <v>-1</v>
      </c>
      <c r="I24" s="199">
        <f t="shared" si="23"/>
        <v>0</v>
      </c>
      <c r="J24" s="200">
        <f t="shared" si="24"/>
        <v>-1</v>
      </c>
      <c r="K24" s="93"/>
      <c r="L24" s="198">
        <f t="shared" si="25"/>
        <v>-1</v>
      </c>
      <c r="M24" s="93"/>
      <c r="N24" s="198">
        <f t="shared" si="26"/>
        <v>-1</v>
      </c>
      <c r="O24" s="93"/>
      <c r="P24" s="198">
        <f t="shared" si="27"/>
        <v>-1</v>
      </c>
      <c r="Q24" s="199">
        <f t="shared" si="28"/>
        <v>0</v>
      </c>
      <c r="R24" s="200">
        <f t="shared" si="29"/>
        <v>-1</v>
      </c>
    </row>
    <row r="25" spans="1:18" hidden="1" x14ac:dyDescent="0.25">
      <c r="A25" s="79" t="s">
        <v>175</v>
      </c>
      <c r="B25" s="80">
        <v>2</v>
      </c>
      <c r="C25" s="81"/>
      <c r="D25" s="7">
        <f t="shared" si="10"/>
        <v>-1</v>
      </c>
      <c r="E25" s="81"/>
      <c r="F25" s="7">
        <f t="shared" si="11"/>
        <v>-1</v>
      </c>
      <c r="G25" s="81"/>
      <c r="H25" s="7">
        <f t="shared" si="12"/>
        <v>-1</v>
      </c>
      <c r="I25" s="5">
        <f t="shared" si="13"/>
        <v>0</v>
      </c>
      <c r="J25" s="8">
        <f t="shared" si="14"/>
        <v>-1</v>
      </c>
      <c r="K25" s="81"/>
      <c r="L25" s="7">
        <f t="shared" si="15"/>
        <v>-1</v>
      </c>
      <c r="M25" s="81"/>
      <c r="N25" s="7">
        <f t="shared" si="16"/>
        <v>-1</v>
      </c>
      <c r="O25" s="81"/>
      <c r="P25" s="7">
        <f t="shared" si="17"/>
        <v>-1</v>
      </c>
      <c r="Q25" s="5">
        <f t="shared" si="18"/>
        <v>0</v>
      </c>
      <c r="R25" s="8">
        <f t="shared" si="19"/>
        <v>-1</v>
      </c>
    </row>
    <row r="26" spans="1:18" hidden="1" x14ac:dyDescent="0.25">
      <c r="A26" s="317" t="s">
        <v>177</v>
      </c>
      <c r="B26" s="312">
        <v>1</v>
      </c>
      <c r="C26" s="299"/>
      <c r="D26" s="41">
        <f t="shared" si="10"/>
        <v>-1</v>
      </c>
      <c r="E26" s="299"/>
      <c r="F26" s="41">
        <f t="shared" si="11"/>
        <v>-1</v>
      </c>
      <c r="G26" s="299"/>
      <c r="H26" s="41">
        <f t="shared" si="12"/>
        <v>-1</v>
      </c>
      <c r="I26" s="297">
        <f t="shared" si="13"/>
        <v>0</v>
      </c>
      <c r="J26" s="121">
        <f t="shared" si="14"/>
        <v>-1</v>
      </c>
      <c r="K26" s="299"/>
      <c r="L26" s="41">
        <f t="shared" si="15"/>
        <v>-1</v>
      </c>
      <c r="M26" s="299"/>
      <c r="N26" s="119">
        <f t="shared" si="16"/>
        <v>-1</v>
      </c>
      <c r="O26" s="299"/>
      <c r="P26" s="119">
        <f t="shared" si="17"/>
        <v>-1</v>
      </c>
      <c r="Q26" s="297">
        <f t="shared" si="18"/>
        <v>0</v>
      </c>
      <c r="R26" s="121">
        <f t="shared" si="19"/>
        <v>-1</v>
      </c>
    </row>
    <row r="27" spans="1:18" hidden="1" x14ac:dyDescent="0.25">
      <c r="A27" s="303" t="s">
        <v>150</v>
      </c>
      <c r="B27" s="311">
        <v>2</v>
      </c>
      <c r="C27" s="305"/>
      <c r="D27" s="309">
        <f t="shared" si="10"/>
        <v>-1</v>
      </c>
      <c r="E27" s="305"/>
      <c r="F27" s="309">
        <f t="shared" si="11"/>
        <v>-1</v>
      </c>
      <c r="G27" s="305"/>
      <c r="H27" s="309">
        <f>((G27/$B27))-1</f>
        <v>-1</v>
      </c>
      <c r="I27" s="307">
        <f t="shared" si="13"/>
        <v>0</v>
      </c>
      <c r="J27" s="314">
        <f t="shared" si="14"/>
        <v>-1</v>
      </c>
      <c r="K27" s="305"/>
      <c r="L27" s="309">
        <f t="shared" si="15"/>
        <v>-1</v>
      </c>
      <c r="M27" s="305"/>
      <c r="N27" s="309">
        <f t="shared" si="16"/>
        <v>-1</v>
      </c>
      <c r="O27" s="305"/>
      <c r="P27" s="309">
        <f t="shared" si="17"/>
        <v>-1</v>
      </c>
      <c r="Q27" s="307">
        <f t="shared" si="18"/>
        <v>0</v>
      </c>
      <c r="R27" s="314">
        <f t="shared" si="19"/>
        <v>-1</v>
      </c>
    </row>
    <row r="28" spans="1:18" hidden="1" x14ac:dyDescent="0.25">
      <c r="A28" s="303" t="s">
        <v>187</v>
      </c>
      <c r="B28" s="311">
        <v>3</v>
      </c>
      <c r="C28" s="305"/>
      <c r="D28" s="309">
        <f t="shared" si="10"/>
        <v>-1</v>
      </c>
      <c r="E28" s="305"/>
      <c r="F28" s="309">
        <f t="shared" si="11"/>
        <v>-1</v>
      </c>
      <c r="G28" s="305"/>
      <c r="H28" s="309">
        <f>((G28/$B28))-1</f>
        <v>-1</v>
      </c>
      <c r="I28" s="307">
        <f t="shared" si="13"/>
        <v>0</v>
      </c>
      <c r="J28" s="314">
        <f t="shared" si="14"/>
        <v>-1</v>
      </c>
      <c r="K28" s="305"/>
      <c r="L28" s="309">
        <f t="shared" si="15"/>
        <v>-1</v>
      </c>
      <c r="M28" s="305"/>
      <c r="N28" s="309">
        <f t="shared" si="16"/>
        <v>-1</v>
      </c>
      <c r="O28" s="305"/>
      <c r="P28" s="309">
        <f t="shared" si="17"/>
        <v>-1</v>
      </c>
      <c r="Q28" s="307">
        <f t="shared" si="18"/>
        <v>0</v>
      </c>
      <c r="R28" s="314">
        <f t="shared" si="19"/>
        <v>-1</v>
      </c>
    </row>
    <row r="29" spans="1:18" ht="15.75" hidden="1" thickBot="1" x14ac:dyDescent="0.3">
      <c r="A29" s="50" t="s">
        <v>6</v>
      </c>
      <c r="B29" s="51">
        <f>SUM(B18:B28)</f>
        <v>38</v>
      </c>
      <c r="C29" s="313">
        <f>SUM(C18:C28)</f>
        <v>0</v>
      </c>
      <c r="D29" s="296">
        <f t="shared" si="10"/>
        <v>-1</v>
      </c>
      <c r="E29" s="313">
        <f>SUM(E18:E28)</f>
        <v>0</v>
      </c>
      <c r="F29" s="296">
        <f t="shared" si="11"/>
        <v>-1</v>
      </c>
      <c r="G29" s="313">
        <f>SUM(G18:G28)</f>
        <v>0</v>
      </c>
      <c r="H29" s="296">
        <f t="shared" si="12"/>
        <v>-1</v>
      </c>
      <c r="I29" s="298">
        <f t="shared" si="13"/>
        <v>0</v>
      </c>
      <c r="J29" s="122">
        <f t="shared" si="14"/>
        <v>-1</v>
      </c>
      <c r="K29" s="313">
        <f>SUM(K18:K28)</f>
        <v>0</v>
      </c>
      <c r="L29" s="296">
        <f t="shared" si="15"/>
        <v>-1</v>
      </c>
      <c r="M29" s="313">
        <f>SUM(M18:M28)</f>
        <v>0</v>
      </c>
      <c r="N29" s="296">
        <f t="shared" si="16"/>
        <v>-1</v>
      </c>
      <c r="O29" s="313">
        <f>SUM(O18:O28)</f>
        <v>0</v>
      </c>
      <c r="P29" s="296">
        <f t="shared" si="17"/>
        <v>-1</v>
      </c>
      <c r="Q29" s="298">
        <f t="shared" si="18"/>
        <v>0</v>
      </c>
      <c r="R29" s="122">
        <f t="shared" si="19"/>
        <v>-1</v>
      </c>
    </row>
    <row r="30" spans="1:18" hidden="1" x14ac:dyDescent="0.25"/>
    <row r="31" spans="1:18" ht="15.75" hidden="1" x14ac:dyDescent="0.25">
      <c r="A31" s="603" t="s">
        <v>246</v>
      </c>
      <c r="B31" s="604"/>
      <c r="C31" s="604"/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604"/>
      <c r="R31" s="604"/>
    </row>
    <row r="32" spans="1:18" ht="24.75" hidden="1" thickBot="1" x14ac:dyDescent="0.3">
      <c r="A32" s="57" t="s">
        <v>12</v>
      </c>
      <c r="B32" s="340" t="s">
        <v>13</v>
      </c>
      <c r="C32" s="320" t="str">
        <f t="shared" ref="C32:R32" si="30">C17</f>
        <v>JUL</v>
      </c>
      <c r="D32" s="321" t="str">
        <f t="shared" si="30"/>
        <v>%</v>
      </c>
      <c r="E32" s="320" t="str">
        <f t="shared" si="30"/>
        <v>AGO</v>
      </c>
      <c r="F32" s="321" t="str">
        <f t="shared" si="30"/>
        <v>%</v>
      </c>
      <c r="G32" s="320" t="str">
        <f t="shared" si="30"/>
        <v>SET</v>
      </c>
      <c r="H32" s="321" t="str">
        <f t="shared" si="30"/>
        <v>%</v>
      </c>
      <c r="I32" s="322" t="str">
        <f t="shared" si="30"/>
        <v>Trimestre</v>
      </c>
      <c r="J32" s="322" t="str">
        <f t="shared" si="30"/>
        <v>%</v>
      </c>
      <c r="K32" s="320" t="str">
        <f t="shared" si="30"/>
        <v>OUT</v>
      </c>
      <c r="L32" s="321" t="str">
        <f t="shared" si="30"/>
        <v>%</v>
      </c>
      <c r="M32" s="320" t="str">
        <f t="shared" si="30"/>
        <v>NOV</v>
      </c>
      <c r="N32" s="321" t="str">
        <f t="shared" si="30"/>
        <v>%</v>
      </c>
      <c r="O32" s="320" t="str">
        <f t="shared" si="30"/>
        <v>DEZ</v>
      </c>
      <c r="P32" s="321" t="str">
        <f t="shared" si="30"/>
        <v>%</v>
      </c>
      <c r="Q32" s="322" t="str">
        <f t="shared" si="30"/>
        <v>Trimestre</v>
      </c>
      <c r="R32" s="322" t="str">
        <f t="shared" si="30"/>
        <v>%</v>
      </c>
    </row>
    <row r="33" spans="1:18" ht="15.75" hidden="1" thickTop="1" x14ac:dyDescent="0.25">
      <c r="A33" s="319" t="s">
        <v>258</v>
      </c>
      <c r="B33" s="332">
        <v>568</v>
      </c>
      <c r="C33" s="305"/>
      <c r="D33" s="309">
        <f>((C33/$B33))-1</f>
        <v>-1</v>
      </c>
      <c r="E33" s="305"/>
      <c r="F33" s="309">
        <f>((E33/$B33))-1</f>
        <v>-1</v>
      </c>
      <c r="G33" s="305">
        <v>0</v>
      </c>
      <c r="H33" s="309">
        <f>((G33/$B33))-1</f>
        <v>-1</v>
      </c>
      <c r="I33" s="307">
        <f>C33+E33+G33</f>
        <v>0</v>
      </c>
      <c r="J33" s="314">
        <f>((I33/(3*$B33)))-1</f>
        <v>-1</v>
      </c>
      <c r="K33" s="305"/>
      <c r="L33" s="309">
        <f>((K33/$B33))-1</f>
        <v>-1</v>
      </c>
      <c r="M33" s="305"/>
      <c r="N33" s="309">
        <f>((M33/$B33))-1</f>
        <v>-1</v>
      </c>
      <c r="O33" s="305"/>
      <c r="P33" s="309">
        <f>((O33/$B33))-1</f>
        <v>-1</v>
      </c>
      <c r="Q33" s="307">
        <f>K33+M33+O33</f>
        <v>0</v>
      </c>
      <c r="R33" s="314">
        <f>((Q33/(3*$B33)))-1</f>
        <v>-1</v>
      </c>
    </row>
    <row r="34" spans="1:18" ht="15.75" hidden="1" thickBot="1" x14ac:dyDescent="0.3">
      <c r="A34" s="319" t="s">
        <v>259</v>
      </c>
      <c r="B34" s="332">
        <v>660</v>
      </c>
      <c r="C34" s="305"/>
      <c r="D34" s="309">
        <f t="shared" ref="D34" si="31">((C34/$B34))-1</f>
        <v>-1</v>
      </c>
      <c r="E34" s="305"/>
      <c r="F34" s="309">
        <f t="shared" ref="F34" si="32">((E34/$B34))-1</f>
        <v>-1</v>
      </c>
      <c r="G34" s="305">
        <v>0</v>
      </c>
      <c r="H34" s="309">
        <f t="shared" ref="H34" si="33">((G34/$B34))-1</f>
        <v>-1</v>
      </c>
      <c r="I34" s="307">
        <f t="shared" ref="I34" si="34">C34+E34+G34</f>
        <v>0</v>
      </c>
      <c r="J34" s="314">
        <f t="shared" ref="J34" si="35">((I34/(3*$B34)))-1</f>
        <v>-1</v>
      </c>
      <c r="K34" s="305"/>
      <c r="L34" s="309">
        <f t="shared" ref="L34" si="36">((K34/$B34))-1</f>
        <v>-1</v>
      </c>
      <c r="M34" s="305"/>
      <c r="N34" s="309">
        <f t="shared" ref="N34" si="37">((M34/$B34))-1</f>
        <v>-1</v>
      </c>
      <c r="O34" s="305"/>
      <c r="P34" s="309">
        <f t="shared" ref="P34" si="38">((O34/$B34))-1</f>
        <v>-1</v>
      </c>
      <c r="Q34" s="307">
        <f t="shared" ref="Q34" si="39">K34+M34+O34</f>
        <v>0</v>
      </c>
      <c r="R34" s="314">
        <f t="shared" ref="R34" si="40">((Q34/(3*$B34)))-1</f>
        <v>-1</v>
      </c>
    </row>
    <row r="35" spans="1:18" ht="15.75" hidden="1" thickBot="1" x14ac:dyDescent="0.3">
      <c r="A35" s="44" t="s">
        <v>6</v>
      </c>
      <c r="B35" s="350">
        <f>SUM(B33:B34)</f>
        <v>1228</v>
      </c>
      <c r="C35" s="48">
        <f>SUM(C33:C34)</f>
        <v>0</v>
      </c>
      <c r="D35" s="52">
        <f>((C35/$B35))-1</f>
        <v>-1</v>
      </c>
      <c r="E35" s="48">
        <f>SUM(E33:E34)</f>
        <v>0</v>
      </c>
      <c r="F35" s="52">
        <f>((E35/$B35))-1</f>
        <v>-1</v>
      </c>
      <c r="G35" s="48">
        <f>SUM(G33:G34)</f>
        <v>0</v>
      </c>
      <c r="H35" s="351">
        <f>((G35/$B35))-1</f>
        <v>-1</v>
      </c>
      <c r="I35" s="352">
        <f>C35+E35+G35</f>
        <v>0</v>
      </c>
      <c r="J35" s="353">
        <f>((I35/(3*$B35)))-1</f>
        <v>-1</v>
      </c>
      <c r="K35" s="48">
        <f>SUM(K33:K34)</f>
        <v>0</v>
      </c>
      <c r="L35" s="52">
        <f>((K35/$B35))-1</f>
        <v>-1</v>
      </c>
      <c r="M35" s="48">
        <f>SUM(M33:M34)</f>
        <v>0</v>
      </c>
      <c r="N35" s="52">
        <f>((M35/$B35))-1</f>
        <v>-1</v>
      </c>
      <c r="O35" s="48">
        <f>SUM(O33:O34)</f>
        <v>0</v>
      </c>
      <c r="P35" s="351">
        <f>((O35/$B35))-1</f>
        <v>-1</v>
      </c>
      <c r="Q35" s="352">
        <f>K35+M35+O35</f>
        <v>0</v>
      </c>
      <c r="R35" s="353">
        <f>((Q35/(3*$B35)))-1</f>
        <v>-1</v>
      </c>
    </row>
    <row r="36" spans="1:18" hidden="1" x14ac:dyDescent="0.25"/>
    <row r="37" spans="1:18" ht="15.75" hidden="1" x14ac:dyDescent="0.25">
      <c r="A37" s="603" t="s">
        <v>268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</row>
    <row r="38" spans="1:18" ht="24.75" hidden="1" thickBot="1" x14ac:dyDescent="0.3">
      <c r="A38" s="82" t="s">
        <v>12</v>
      </c>
      <c r="B38" s="83" t="s">
        <v>13</v>
      </c>
      <c r="C38" s="111" t="str">
        <f t="shared" ref="C38:R38" si="41">C32</f>
        <v>JUL</v>
      </c>
      <c r="D38" s="112" t="str">
        <f t="shared" si="41"/>
        <v>%</v>
      </c>
      <c r="E38" s="111" t="str">
        <f t="shared" si="41"/>
        <v>AGO</v>
      </c>
      <c r="F38" s="112" t="str">
        <f t="shared" si="41"/>
        <v>%</v>
      </c>
      <c r="G38" s="111" t="str">
        <f t="shared" si="41"/>
        <v>SET</v>
      </c>
      <c r="H38" s="112" t="str">
        <f t="shared" si="41"/>
        <v>%</v>
      </c>
      <c r="I38" s="113" t="str">
        <f t="shared" si="41"/>
        <v>Trimestre</v>
      </c>
      <c r="J38" s="113" t="str">
        <f t="shared" si="41"/>
        <v>%</v>
      </c>
      <c r="K38" s="111" t="str">
        <f t="shared" si="41"/>
        <v>OUT</v>
      </c>
      <c r="L38" s="112" t="str">
        <f t="shared" si="41"/>
        <v>%</v>
      </c>
      <c r="M38" s="111" t="str">
        <f t="shared" si="41"/>
        <v>NOV</v>
      </c>
      <c r="N38" s="112" t="str">
        <f t="shared" si="41"/>
        <v>%</v>
      </c>
      <c r="O38" s="111" t="str">
        <f t="shared" si="41"/>
        <v>DEZ</v>
      </c>
      <c r="P38" s="112" t="str">
        <f t="shared" si="41"/>
        <v>%</v>
      </c>
      <c r="Q38" s="113" t="str">
        <f t="shared" si="41"/>
        <v>Trimestre</v>
      </c>
      <c r="R38" s="113" t="str">
        <f t="shared" si="41"/>
        <v>%</v>
      </c>
    </row>
    <row r="39" spans="1:18" ht="15.75" hidden="1" thickTop="1" x14ac:dyDescent="0.25">
      <c r="A39" s="303" t="s">
        <v>165</v>
      </c>
      <c r="B39" s="311">
        <v>18</v>
      </c>
      <c r="C39" s="305"/>
      <c r="D39" s="309">
        <f>((C39/$B39))-1</f>
        <v>-1</v>
      </c>
      <c r="E39" s="305"/>
      <c r="F39" s="309">
        <f t="shared" ref="F39:F41" si="42">((E39/$B39))-1</f>
        <v>-1</v>
      </c>
      <c r="G39" s="305"/>
      <c r="H39" s="309">
        <f t="shared" ref="H39:H41" si="43">((G39/$B39))-1</f>
        <v>-1</v>
      </c>
      <c r="I39" s="307">
        <f t="shared" ref="I39:I41" si="44">C39+E39+G39</f>
        <v>0</v>
      </c>
      <c r="J39" s="314">
        <f t="shared" ref="J39:J41" si="45">((I39/(3*$B39)))-1</f>
        <v>-1</v>
      </c>
      <c r="K39" s="305"/>
      <c r="L39" s="309">
        <f t="shared" ref="L39:L41" si="46">((K39/$B39))-1</f>
        <v>-1</v>
      </c>
      <c r="M39" s="305"/>
      <c r="N39" s="309">
        <f t="shared" ref="N39:N41" si="47">((M39/$B39))-1</f>
        <v>-1</v>
      </c>
      <c r="O39" s="305"/>
      <c r="P39" s="309">
        <f t="shared" ref="P39:P41" si="48">((O39/$B39))-1</f>
        <v>-1</v>
      </c>
      <c r="Q39" s="307">
        <f t="shared" ref="Q39:Q41" si="49">K39+M39+O39</f>
        <v>0</v>
      </c>
      <c r="R39" s="314">
        <f t="shared" ref="R39:R41" si="50">((Q39/(3*$B39)))-1</f>
        <v>-1</v>
      </c>
    </row>
    <row r="40" spans="1:18" ht="15.75" hidden="1" thickBot="1" x14ac:dyDescent="0.3">
      <c r="A40" s="318" t="s">
        <v>155</v>
      </c>
      <c r="B40" s="376">
        <v>12</v>
      </c>
      <c r="C40" s="326"/>
      <c r="D40" s="327">
        <f t="shared" ref="D40:D41" si="51">((C40/$B40))-1</f>
        <v>-1</v>
      </c>
      <c r="E40" s="326"/>
      <c r="F40" s="327">
        <f t="shared" si="42"/>
        <v>-1</v>
      </c>
      <c r="G40" s="326"/>
      <c r="H40" s="327">
        <f t="shared" si="43"/>
        <v>-1</v>
      </c>
      <c r="I40" s="328">
        <f t="shared" si="44"/>
        <v>0</v>
      </c>
      <c r="J40" s="329">
        <f t="shared" si="45"/>
        <v>-1</v>
      </c>
      <c r="K40" s="326"/>
      <c r="L40" s="327">
        <f t="shared" si="46"/>
        <v>-1</v>
      </c>
      <c r="M40" s="326"/>
      <c r="N40" s="327">
        <f t="shared" si="47"/>
        <v>-1</v>
      </c>
      <c r="O40" s="326"/>
      <c r="P40" s="327">
        <f t="shared" si="48"/>
        <v>-1</v>
      </c>
      <c r="Q40" s="328">
        <f t="shared" si="49"/>
        <v>0</v>
      </c>
      <c r="R40" s="329">
        <f t="shared" si="50"/>
        <v>-1</v>
      </c>
    </row>
    <row r="41" spans="1:18" ht="15.75" hidden="1" thickBot="1" x14ac:dyDescent="0.3">
      <c r="A41" s="44" t="s">
        <v>6</v>
      </c>
      <c r="B41" s="46">
        <f>SUM(B39:B40)</f>
        <v>30</v>
      </c>
      <c r="C41" s="48">
        <f>SUM(C39:C40)</f>
        <v>0</v>
      </c>
      <c r="D41" s="52">
        <f t="shared" si="51"/>
        <v>-1</v>
      </c>
      <c r="E41" s="48">
        <f>SUM(E39:E40)</f>
        <v>0</v>
      </c>
      <c r="F41" s="52">
        <f t="shared" si="42"/>
        <v>-1</v>
      </c>
      <c r="G41" s="48">
        <f>SUM(G39:G40)</f>
        <v>0</v>
      </c>
      <c r="H41" s="52">
        <f t="shared" si="43"/>
        <v>-1</v>
      </c>
      <c r="I41" s="47">
        <f t="shared" si="44"/>
        <v>0</v>
      </c>
      <c r="J41" s="53">
        <f t="shared" si="45"/>
        <v>-1</v>
      </c>
      <c r="K41" s="48">
        <f>SUM(K39:K40)</f>
        <v>0</v>
      </c>
      <c r="L41" s="52">
        <f t="shared" si="46"/>
        <v>-1</v>
      </c>
      <c r="M41" s="48">
        <f>SUM(M39:M40)</f>
        <v>0</v>
      </c>
      <c r="N41" s="52">
        <f t="shared" si="47"/>
        <v>-1</v>
      </c>
      <c r="O41" s="48">
        <f>SUM(O39:O40)</f>
        <v>0</v>
      </c>
      <c r="P41" s="52">
        <f t="shared" si="48"/>
        <v>-1</v>
      </c>
      <c r="Q41" s="47">
        <f t="shared" si="49"/>
        <v>0</v>
      </c>
      <c r="R41" s="377">
        <f t="shared" si="50"/>
        <v>-1</v>
      </c>
    </row>
    <row r="42" spans="1:18" hidden="1" x14ac:dyDescent="0.25"/>
    <row r="43" spans="1:18" hidden="1" x14ac:dyDescent="0.25"/>
  </sheetData>
  <mergeCells count="6">
    <mergeCell ref="A37:R37"/>
    <mergeCell ref="A31:R31"/>
    <mergeCell ref="A5:R5"/>
    <mergeCell ref="A16:R16"/>
    <mergeCell ref="A2:R2"/>
    <mergeCell ref="A3:R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&amp;L&amp;12Fonte: Sistema WEBSAASS / SMS&amp;R&amp;12pag.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2</vt:i4>
      </vt:variant>
    </vt:vector>
  </HeadingPairs>
  <TitlesOfParts>
    <vt:vector size="20" baseType="lpstr">
      <vt:lpstr>Qualidade</vt:lpstr>
      <vt:lpstr>UBS Vila Dalva</vt:lpstr>
      <vt:lpstr>UBS Jardim Boa Vista</vt:lpstr>
      <vt:lpstr>UBS e NASF Jardim D´Abril</vt:lpstr>
      <vt:lpstr>UBS Jardim Jaqueline</vt:lpstr>
      <vt:lpstr>UBS E NASF Malta Cardoso</vt:lpstr>
      <vt:lpstr>UBS Real Parque</vt:lpstr>
      <vt:lpstr>UBS Sao Remo</vt:lpstr>
      <vt:lpstr>AMA e UBS Vila Sonia</vt:lpstr>
      <vt:lpstr>AMA_ UBS e NASF Paulo VI</vt:lpstr>
      <vt:lpstr> AMA e UBS Sao Jorge</vt:lpstr>
      <vt:lpstr>PS BAND</vt:lpstr>
      <vt:lpstr>PAI UBS Butantã</vt:lpstr>
      <vt:lpstr>HORA CERTA</vt:lpstr>
      <vt:lpstr>Produção Geral</vt:lpstr>
      <vt:lpstr>Consolidado Profissionais</vt:lpstr>
      <vt:lpstr>Consolidado Consulta</vt:lpstr>
      <vt:lpstr>valor desconto qualidade</vt:lpstr>
      <vt:lpstr>'HORA CERTA'!Area_de_impressao</vt:lpstr>
      <vt:lpstr>'PS BAND'!Area_de_impressao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2019-05-15T13:47:09Z</cp:lastPrinted>
  <dcterms:created xsi:type="dcterms:W3CDTF">2015-09-23T12:00:25Z</dcterms:created>
  <dcterms:modified xsi:type="dcterms:W3CDTF">2020-05-11T15:36:57Z</dcterms:modified>
</cp:coreProperties>
</file>